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eke\Documents\PhD\Manuscripts\PhD thesis FINAL\"/>
    </mc:Choice>
  </mc:AlternateContent>
  <xr:revisionPtr revIDLastSave="0" documentId="8_{8D92E0E3-9773-450C-B683-533C0E1B2112}" xr6:coauthVersionLast="47" xr6:coauthVersionMax="47" xr10:uidLastSave="{00000000-0000-0000-0000-000000000000}"/>
  <bookViews>
    <workbookView xWindow="-110" yWindow="290" windowWidth="19420" windowHeight="10060" firstSheet="2" activeTab="4" xr2:uid="{162CE2D1-5270-4835-B98C-560B0BB0BA49}"/>
  </bookViews>
  <sheets>
    <sheet name="Siderite batch experiments" sheetId="1" r:id="rId1"/>
    <sheet name="Siderite flow through exp" sheetId="2" r:id="rId2"/>
    <sheet name="Fe oxidation" sheetId="3" r:id="rId3"/>
    <sheet name="Siderite - oxic dissolution" sheetId="4" r:id="rId4"/>
    <sheet name="Siderite - anoxic dissolution" sheetId="5" r:id="rId5"/>
  </sheets>
  <externalReferences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5" l="1"/>
  <c r="L59" i="5"/>
  <c r="O59" i="5" s="1"/>
  <c r="N58" i="5"/>
  <c r="L58" i="5"/>
  <c r="O58" i="5" s="1"/>
  <c r="N57" i="5"/>
  <c r="L57" i="5"/>
  <c r="J57" i="5"/>
  <c r="D57" i="5"/>
  <c r="D58" i="5" s="1"/>
  <c r="N56" i="5"/>
  <c r="J56" i="5"/>
  <c r="N55" i="5"/>
  <c r="L55" i="5"/>
  <c r="O55" i="5" s="1"/>
  <c r="J55" i="5"/>
  <c r="N54" i="5"/>
  <c r="L54" i="5"/>
  <c r="O54" i="5" s="1"/>
  <c r="J54" i="5"/>
  <c r="N53" i="5"/>
  <c r="L53" i="5"/>
  <c r="J53" i="5"/>
  <c r="N52" i="5"/>
  <c r="L52" i="5"/>
  <c r="O52" i="5" s="1"/>
  <c r="J52" i="5"/>
  <c r="N51" i="5"/>
  <c r="L51" i="5"/>
  <c r="O51" i="5" s="1"/>
  <c r="J51" i="5"/>
  <c r="D51" i="5"/>
  <c r="E51" i="5" s="1"/>
  <c r="N50" i="5"/>
  <c r="L50" i="5"/>
  <c r="O50" i="5" s="1"/>
  <c r="J50" i="5"/>
  <c r="E50" i="5"/>
  <c r="N49" i="5"/>
  <c r="L49" i="5"/>
  <c r="O49" i="5" s="1"/>
  <c r="J49" i="5"/>
  <c r="E49" i="5"/>
  <c r="N48" i="5"/>
  <c r="L48" i="5"/>
  <c r="O48" i="5" s="1"/>
  <c r="J48" i="5"/>
  <c r="E48" i="5"/>
  <c r="O47" i="5"/>
  <c r="N47" i="5"/>
  <c r="L47" i="5"/>
  <c r="J47" i="5"/>
  <c r="E47" i="5"/>
  <c r="N46" i="5"/>
  <c r="L46" i="5"/>
  <c r="O46" i="5" s="1"/>
  <c r="J46" i="5"/>
  <c r="E46" i="5"/>
  <c r="C39" i="5"/>
  <c r="C37" i="5"/>
  <c r="O56" i="5" s="1"/>
  <c r="O28" i="5"/>
  <c r="N28" i="5"/>
  <c r="N27" i="5"/>
  <c r="J27" i="5"/>
  <c r="D27" i="5"/>
  <c r="D28" i="5" s="1"/>
  <c r="E28" i="5" s="1"/>
  <c r="N26" i="5"/>
  <c r="J26" i="5"/>
  <c r="L26" i="5" s="1"/>
  <c r="O26" i="5" s="1"/>
  <c r="E26" i="5"/>
  <c r="D26" i="5"/>
  <c r="N25" i="5"/>
  <c r="N24" i="5"/>
  <c r="L24" i="5"/>
  <c r="O24" i="5" s="1"/>
  <c r="J24" i="5"/>
  <c r="N23" i="5"/>
  <c r="J23" i="5"/>
  <c r="L23" i="5" s="1"/>
  <c r="O23" i="5" s="1"/>
  <c r="N22" i="5"/>
  <c r="J22" i="5"/>
  <c r="L22" i="5" s="1"/>
  <c r="O22" i="5" s="1"/>
  <c r="N21" i="5"/>
  <c r="J21" i="5"/>
  <c r="L21" i="5" s="1"/>
  <c r="O21" i="5" s="1"/>
  <c r="D21" i="5"/>
  <c r="E21" i="5" s="1"/>
  <c r="N20" i="5"/>
  <c r="L20" i="5"/>
  <c r="O20" i="5" s="1"/>
  <c r="J20" i="5"/>
  <c r="D20" i="5"/>
  <c r="E20" i="5" s="1"/>
  <c r="N19" i="5"/>
  <c r="J19" i="5"/>
  <c r="L19" i="5" s="1"/>
  <c r="O19" i="5" s="1"/>
  <c r="E19" i="5"/>
  <c r="N18" i="5"/>
  <c r="J18" i="5"/>
  <c r="L18" i="5" s="1"/>
  <c r="O18" i="5" s="1"/>
  <c r="E18" i="5"/>
  <c r="N17" i="5"/>
  <c r="L17" i="5"/>
  <c r="O17" i="5" s="1"/>
  <c r="J17" i="5"/>
  <c r="E17" i="5"/>
  <c r="N16" i="5"/>
  <c r="L16" i="5"/>
  <c r="O16" i="5" s="1"/>
  <c r="J16" i="5"/>
  <c r="E16" i="5"/>
  <c r="N15" i="5"/>
  <c r="J15" i="5"/>
  <c r="L15" i="5" s="1"/>
  <c r="O15" i="5" s="1"/>
  <c r="E15" i="5"/>
  <c r="C8" i="5"/>
  <c r="D8" i="5" s="1"/>
  <c r="C6" i="5"/>
  <c r="E58" i="5" l="1"/>
  <c r="D59" i="5"/>
  <c r="E59" i="5" s="1"/>
  <c r="C41" i="5"/>
  <c r="D41" i="5" s="1"/>
  <c r="C10" i="5"/>
  <c r="D10" i="5" s="1"/>
  <c r="O25" i="5"/>
  <c r="E57" i="5"/>
  <c r="E27" i="5"/>
  <c r="D22" i="5"/>
  <c r="O27" i="5"/>
  <c r="D52" i="5"/>
  <c r="O57" i="5"/>
  <c r="O53" i="5"/>
  <c r="E22" i="5" l="1"/>
  <c r="D23" i="5"/>
  <c r="E52" i="5"/>
  <c r="D53" i="5"/>
  <c r="E23" i="5" l="1"/>
  <c r="D24" i="5"/>
  <c r="D54" i="5"/>
  <c r="E53" i="5"/>
  <c r="D55" i="5" l="1"/>
  <c r="E54" i="5"/>
  <c r="D25" i="5"/>
  <c r="E25" i="5" s="1"/>
  <c r="E24" i="5"/>
  <c r="E55" i="5" l="1"/>
  <c r="D56" i="5"/>
  <c r="E56" i="5" s="1"/>
  <c r="J181" i="4" l="1"/>
  <c r="H181" i="4"/>
  <c r="F181" i="4"/>
  <c r="D181" i="4"/>
  <c r="J180" i="4"/>
  <c r="H180" i="4"/>
  <c r="F180" i="4"/>
  <c r="D180" i="4"/>
  <c r="J179" i="4"/>
  <c r="H179" i="4"/>
  <c r="F179" i="4"/>
  <c r="D179" i="4"/>
  <c r="J178" i="4"/>
  <c r="H178" i="4"/>
  <c r="F178" i="4"/>
  <c r="D178" i="4"/>
  <c r="J177" i="4"/>
  <c r="H177" i="4"/>
  <c r="F177" i="4"/>
  <c r="D177" i="4"/>
  <c r="J176" i="4"/>
  <c r="H176" i="4"/>
  <c r="F176" i="4"/>
  <c r="D176" i="4"/>
  <c r="J175" i="4"/>
  <c r="H175" i="4"/>
  <c r="F175" i="4"/>
  <c r="D175" i="4"/>
  <c r="J174" i="4"/>
  <c r="H174" i="4"/>
  <c r="F174" i="4"/>
  <c r="D174" i="4"/>
  <c r="J173" i="4"/>
  <c r="H173" i="4"/>
  <c r="F173" i="4"/>
  <c r="D173" i="4"/>
  <c r="J172" i="4"/>
  <c r="H172" i="4"/>
  <c r="F172" i="4"/>
  <c r="D172" i="4"/>
  <c r="J171" i="4"/>
  <c r="H171" i="4"/>
  <c r="F171" i="4"/>
  <c r="D171" i="4"/>
  <c r="J170" i="4"/>
  <c r="H170" i="4"/>
  <c r="F170" i="4"/>
  <c r="D170" i="4"/>
  <c r="J169" i="4"/>
  <c r="H169" i="4"/>
  <c r="F169" i="4"/>
  <c r="D169" i="4"/>
  <c r="J168" i="4"/>
  <c r="H168" i="4"/>
  <c r="F168" i="4"/>
  <c r="D168" i="4"/>
  <c r="J167" i="4"/>
  <c r="H167" i="4"/>
  <c r="F167" i="4"/>
  <c r="D167" i="4"/>
  <c r="B167" i="4"/>
  <c r="A167" i="4"/>
  <c r="A168" i="4" s="1"/>
  <c r="J160" i="4"/>
  <c r="H160" i="4"/>
  <c r="F160" i="4"/>
  <c r="D160" i="4"/>
  <c r="J159" i="4"/>
  <c r="H159" i="4"/>
  <c r="F159" i="4"/>
  <c r="D159" i="4"/>
  <c r="J158" i="4"/>
  <c r="H158" i="4"/>
  <c r="F158" i="4"/>
  <c r="D158" i="4"/>
  <c r="J157" i="4"/>
  <c r="H157" i="4"/>
  <c r="F157" i="4"/>
  <c r="D157" i="4"/>
  <c r="J156" i="4"/>
  <c r="H156" i="4"/>
  <c r="F156" i="4"/>
  <c r="D156" i="4"/>
  <c r="J155" i="4"/>
  <c r="H155" i="4"/>
  <c r="F155" i="4"/>
  <c r="D155" i="4"/>
  <c r="J154" i="4"/>
  <c r="H154" i="4"/>
  <c r="F154" i="4"/>
  <c r="D154" i="4"/>
  <c r="J153" i="4"/>
  <c r="H153" i="4"/>
  <c r="F153" i="4"/>
  <c r="D153" i="4"/>
  <c r="J152" i="4"/>
  <c r="H152" i="4"/>
  <c r="F152" i="4"/>
  <c r="D152" i="4"/>
  <c r="J151" i="4"/>
  <c r="H151" i="4"/>
  <c r="F151" i="4"/>
  <c r="D151" i="4"/>
  <c r="J150" i="4"/>
  <c r="H150" i="4"/>
  <c r="F150" i="4"/>
  <c r="D150" i="4"/>
  <c r="J149" i="4"/>
  <c r="H149" i="4"/>
  <c r="F149" i="4"/>
  <c r="D149" i="4"/>
  <c r="J148" i="4"/>
  <c r="H148" i="4"/>
  <c r="F148" i="4"/>
  <c r="D148" i="4"/>
  <c r="A148" i="4"/>
  <c r="A149" i="4" s="1"/>
  <c r="J147" i="4"/>
  <c r="H147" i="4"/>
  <c r="F147" i="4"/>
  <c r="D147" i="4"/>
  <c r="A147" i="4"/>
  <c r="B147" i="4" s="1"/>
  <c r="J146" i="4"/>
  <c r="H146" i="4"/>
  <c r="F146" i="4"/>
  <c r="D146" i="4"/>
  <c r="B146" i="4"/>
  <c r="A146" i="4"/>
  <c r="J139" i="4"/>
  <c r="H139" i="4"/>
  <c r="F139" i="4"/>
  <c r="D139" i="4"/>
  <c r="J138" i="4"/>
  <c r="H138" i="4"/>
  <c r="F138" i="4"/>
  <c r="D138" i="4"/>
  <c r="J137" i="4"/>
  <c r="H137" i="4"/>
  <c r="F137" i="4"/>
  <c r="D137" i="4"/>
  <c r="J136" i="4"/>
  <c r="H136" i="4"/>
  <c r="F136" i="4"/>
  <c r="D136" i="4"/>
  <c r="J135" i="4"/>
  <c r="H135" i="4"/>
  <c r="F135" i="4"/>
  <c r="D135" i="4"/>
  <c r="J134" i="4"/>
  <c r="H134" i="4"/>
  <c r="F134" i="4"/>
  <c r="D134" i="4"/>
  <c r="A134" i="4"/>
  <c r="A135" i="4" s="1"/>
  <c r="J133" i="4"/>
  <c r="H133" i="4"/>
  <c r="F133" i="4"/>
  <c r="D133" i="4"/>
  <c r="A133" i="4"/>
  <c r="B133" i="4" s="1"/>
  <c r="J132" i="4"/>
  <c r="H132" i="4"/>
  <c r="F132" i="4"/>
  <c r="D132" i="4"/>
  <c r="B132" i="4"/>
  <c r="A132" i="4"/>
  <c r="J131" i="4"/>
  <c r="H131" i="4"/>
  <c r="F131" i="4"/>
  <c r="D131" i="4"/>
  <c r="J130" i="4"/>
  <c r="H130" i="4"/>
  <c r="F130" i="4"/>
  <c r="D130" i="4"/>
  <c r="J129" i="4"/>
  <c r="H129" i="4"/>
  <c r="F129" i="4"/>
  <c r="D129" i="4"/>
  <c r="J128" i="4"/>
  <c r="H128" i="4"/>
  <c r="F128" i="4"/>
  <c r="D128" i="4"/>
  <c r="J127" i="4"/>
  <c r="H127" i="4"/>
  <c r="F127" i="4"/>
  <c r="D127" i="4"/>
  <c r="J126" i="4"/>
  <c r="H126" i="4"/>
  <c r="F126" i="4"/>
  <c r="D126" i="4"/>
  <c r="A126" i="4"/>
  <c r="A127" i="4" s="1"/>
  <c r="J125" i="4"/>
  <c r="H125" i="4"/>
  <c r="F125" i="4"/>
  <c r="D125" i="4"/>
  <c r="A125" i="4"/>
  <c r="B125" i="4" s="1"/>
  <c r="J118" i="4"/>
  <c r="H118" i="4"/>
  <c r="F118" i="4"/>
  <c r="D118" i="4"/>
  <c r="J117" i="4"/>
  <c r="H117" i="4"/>
  <c r="F117" i="4"/>
  <c r="D117" i="4"/>
  <c r="J116" i="4"/>
  <c r="H116" i="4"/>
  <c r="F116" i="4"/>
  <c r="D116" i="4"/>
  <c r="J115" i="4"/>
  <c r="H115" i="4"/>
  <c r="F115" i="4"/>
  <c r="D115" i="4"/>
  <c r="J114" i="4"/>
  <c r="H114" i="4"/>
  <c r="F114" i="4"/>
  <c r="D114" i="4"/>
  <c r="J113" i="4"/>
  <c r="H113" i="4"/>
  <c r="F113" i="4"/>
  <c r="D113" i="4"/>
  <c r="J112" i="4"/>
  <c r="H112" i="4"/>
  <c r="F112" i="4"/>
  <c r="D112" i="4"/>
  <c r="J111" i="4"/>
  <c r="H111" i="4"/>
  <c r="F111" i="4"/>
  <c r="D111" i="4"/>
  <c r="J110" i="4"/>
  <c r="H110" i="4"/>
  <c r="F110" i="4"/>
  <c r="D110" i="4"/>
  <c r="J109" i="4"/>
  <c r="H109" i="4"/>
  <c r="F109" i="4"/>
  <c r="D109" i="4"/>
  <c r="J108" i="4"/>
  <c r="H108" i="4"/>
  <c r="F108" i="4"/>
  <c r="D108" i="4"/>
  <c r="J107" i="4"/>
  <c r="H107" i="4"/>
  <c r="F107" i="4"/>
  <c r="D107" i="4"/>
  <c r="J106" i="4"/>
  <c r="H106" i="4"/>
  <c r="F106" i="4"/>
  <c r="D106" i="4"/>
  <c r="J105" i="4"/>
  <c r="H105" i="4"/>
  <c r="F105" i="4"/>
  <c r="D105" i="4"/>
  <c r="J104" i="4"/>
  <c r="H104" i="4"/>
  <c r="F104" i="4"/>
  <c r="D104" i="4"/>
  <c r="A104" i="4"/>
  <c r="A105" i="4" s="1"/>
  <c r="J97" i="4"/>
  <c r="H97" i="4"/>
  <c r="F97" i="4"/>
  <c r="D97" i="4"/>
  <c r="A97" i="4"/>
  <c r="B97" i="4" s="1"/>
  <c r="Q96" i="4"/>
  <c r="O96" i="4"/>
  <c r="J96" i="4"/>
  <c r="H96" i="4"/>
  <c r="F96" i="4"/>
  <c r="D96" i="4"/>
  <c r="A96" i="4"/>
  <c r="B96" i="4" s="1"/>
  <c r="J95" i="4"/>
  <c r="H95" i="4"/>
  <c r="F95" i="4"/>
  <c r="D95" i="4"/>
  <c r="A95" i="4"/>
  <c r="B95" i="4" s="1"/>
  <c r="J94" i="4"/>
  <c r="H94" i="4"/>
  <c r="F94" i="4"/>
  <c r="D94" i="4"/>
  <c r="A94" i="4"/>
  <c r="B94" i="4" s="1"/>
  <c r="Q93" i="4"/>
  <c r="O93" i="4"/>
  <c r="J93" i="4"/>
  <c r="H93" i="4"/>
  <c r="F93" i="4"/>
  <c r="D93" i="4"/>
  <c r="B93" i="4"/>
  <c r="A93" i="4"/>
  <c r="Q92" i="4"/>
  <c r="O92" i="4"/>
  <c r="J92" i="4"/>
  <c r="H92" i="4"/>
  <c r="F92" i="4"/>
  <c r="D92" i="4"/>
  <c r="B92" i="4"/>
  <c r="A92" i="4"/>
  <c r="Q91" i="4"/>
  <c r="O91" i="4"/>
  <c r="J91" i="4"/>
  <c r="H91" i="4"/>
  <c r="F91" i="4"/>
  <c r="D91" i="4"/>
  <c r="A91" i="4"/>
  <c r="B91" i="4" s="1"/>
  <c r="Q90" i="4"/>
  <c r="O90" i="4"/>
  <c r="J90" i="4"/>
  <c r="H90" i="4"/>
  <c r="F90" i="4"/>
  <c r="D90" i="4"/>
  <c r="A90" i="4"/>
  <c r="B90" i="4" s="1"/>
  <c r="Q89" i="4"/>
  <c r="O89" i="4"/>
  <c r="J89" i="4"/>
  <c r="H89" i="4"/>
  <c r="F89" i="4"/>
  <c r="D89" i="4"/>
  <c r="B89" i="4"/>
  <c r="A89" i="4"/>
  <c r="Q88" i="4"/>
  <c r="O88" i="4"/>
  <c r="J88" i="4"/>
  <c r="H88" i="4"/>
  <c r="F88" i="4"/>
  <c r="D88" i="4"/>
  <c r="B88" i="4"/>
  <c r="A88" i="4"/>
  <c r="Q87" i="4"/>
  <c r="O87" i="4"/>
  <c r="J87" i="4"/>
  <c r="H87" i="4"/>
  <c r="F87" i="4"/>
  <c r="D87" i="4"/>
  <c r="A87" i="4"/>
  <c r="B87" i="4" s="1"/>
  <c r="Q86" i="4"/>
  <c r="O86" i="4"/>
  <c r="J86" i="4"/>
  <c r="H86" i="4"/>
  <c r="F86" i="4"/>
  <c r="D86" i="4"/>
  <c r="A86" i="4"/>
  <c r="B86" i="4" s="1"/>
  <c r="Q85" i="4"/>
  <c r="O85" i="4"/>
  <c r="J85" i="4"/>
  <c r="H85" i="4"/>
  <c r="F85" i="4"/>
  <c r="D85" i="4"/>
  <c r="B85" i="4"/>
  <c r="A85" i="4"/>
  <c r="Q84" i="4"/>
  <c r="O84" i="4"/>
  <c r="L84" i="4"/>
  <c r="L85" i="4" s="1"/>
  <c r="J84" i="4"/>
  <c r="H84" i="4"/>
  <c r="F84" i="4"/>
  <c r="D84" i="4"/>
  <c r="B84" i="4"/>
  <c r="A84" i="4"/>
  <c r="J77" i="4"/>
  <c r="H77" i="4"/>
  <c r="F77" i="4"/>
  <c r="D77" i="4"/>
  <c r="B77" i="4"/>
  <c r="A77" i="4"/>
  <c r="J76" i="4"/>
  <c r="H76" i="4"/>
  <c r="F76" i="4"/>
  <c r="D76" i="4"/>
  <c r="A76" i="4"/>
  <c r="B76" i="4" s="1"/>
  <c r="J75" i="4"/>
  <c r="H75" i="4"/>
  <c r="F75" i="4"/>
  <c r="D75" i="4"/>
  <c r="A75" i="4"/>
  <c r="B75" i="4" s="1"/>
  <c r="J74" i="4"/>
  <c r="H74" i="4"/>
  <c r="F74" i="4"/>
  <c r="D74" i="4"/>
  <c r="B74" i="4"/>
  <c r="A74" i="4"/>
  <c r="J73" i="4"/>
  <c r="H73" i="4"/>
  <c r="F73" i="4"/>
  <c r="D73" i="4"/>
  <c r="B73" i="4"/>
  <c r="A73" i="4"/>
  <c r="J72" i="4"/>
  <c r="H72" i="4"/>
  <c r="F72" i="4"/>
  <c r="D72" i="4"/>
  <c r="A72" i="4"/>
  <c r="B72" i="4" s="1"/>
  <c r="J71" i="4"/>
  <c r="H71" i="4"/>
  <c r="F71" i="4"/>
  <c r="D71" i="4"/>
  <c r="A71" i="4"/>
  <c r="B71" i="4" s="1"/>
  <c r="J70" i="4"/>
  <c r="H70" i="4"/>
  <c r="F70" i="4"/>
  <c r="D70" i="4"/>
  <c r="B70" i="4"/>
  <c r="A70" i="4"/>
  <c r="J69" i="4"/>
  <c r="H69" i="4"/>
  <c r="F69" i="4"/>
  <c r="D69" i="4"/>
  <c r="B69" i="4"/>
  <c r="A69" i="4"/>
  <c r="J68" i="4"/>
  <c r="H68" i="4"/>
  <c r="F68" i="4"/>
  <c r="D68" i="4"/>
  <c r="A68" i="4"/>
  <c r="B68" i="4" s="1"/>
  <c r="J67" i="4"/>
  <c r="H67" i="4"/>
  <c r="F67" i="4"/>
  <c r="D67" i="4"/>
  <c r="A67" i="4"/>
  <c r="B67" i="4" s="1"/>
  <c r="J66" i="4"/>
  <c r="H66" i="4"/>
  <c r="F66" i="4"/>
  <c r="D66" i="4"/>
  <c r="B66" i="4"/>
  <c r="A66" i="4"/>
  <c r="J65" i="4"/>
  <c r="H65" i="4"/>
  <c r="F65" i="4"/>
  <c r="D65" i="4"/>
  <c r="B65" i="4"/>
  <c r="A65" i="4"/>
  <c r="J64" i="4"/>
  <c r="H64" i="4"/>
  <c r="F64" i="4"/>
  <c r="D64" i="4"/>
  <c r="A64" i="4"/>
  <c r="B64" i="4" s="1"/>
  <c r="J57" i="4"/>
  <c r="H57" i="4"/>
  <c r="F57" i="4"/>
  <c r="D57" i="4"/>
  <c r="J56" i="4"/>
  <c r="H56" i="4"/>
  <c r="F56" i="4"/>
  <c r="D56" i="4"/>
  <c r="J55" i="4"/>
  <c r="H55" i="4"/>
  <c r="F55" i="4"/>
  <c r="D55" i="4"/>
  <c r="A55" i="4"/>
  <c r="B55" i="4" s="1"/>
  <c r="J54" i="4"/>
  <c r="H54" i="4"/>
  <c r="F54" i="4"/>
  <c r="D54" i="4"/>
  <c r="A54" i="4"/>
  <c r="B54" i="4" s="1"/>
  <c r="J53" i="4"/>
  <c r="H53" i="4"/>
  <c r="F53" i="4"/>
  <c r="D53" i="4"/>
  <c r="A53" i="4"/>
  <c r="B53" i="4" s="1"/>
  <c r="J52" i="4"/>
  <c r="H52" i="4"/>
  <c r="F52" i="4"/>
  <c r="D52" i="4"/>
  <c r="B52" i="4"/>
  <c r="A52" i="4"/>
  <c r="J51" i="4"/>
  <c r="H51" i="4"/>
  <c r="F51" i="4"/>
  <c r="D51" i="4"/>
  <c r="A51" i="4"/>
  <c r="B51" i="4" s="1"/>
  <c r="J50" i="4"/>
  <c r="H50" i="4"/>
  <c r="F50" i="4"/>
  <c r="D50" i="4"/>
  <c r="A50" i="4"/>
  <c r="B50" i="4" s="1"/>
  <c r="J49" i="4"/>
  <c r="H49" i="4"/>
  <c r="F49" i="4"/>
  <c r="D49" i="4"/>
  <c r="A49" i="4"/>
  <c r="B49" i="4" s="1"/>
  <c r="J48" i="4"/>
  <c r="H48" i="4"/>
  <c r="F48" i="4"/>
  <c r="D48" i="4"/>
  <c r="B48" i="4"/>
  <c r="A48" i="4"/>
  <c r="J47" i="4"/>
  <c r="H47" i="4"/>
  <c r="F47" i="4"/>
  <c r="D47" i="4"/>
  <c r="A47" i="4"/>
  <c r="B47" i="4" s="1"/>
  <c r="J46" i="4"/>
  <c r="H46" i="4"/>
  <c r="F46" i="4"/>
  <c r="D46" i="4"/>
  <c r="A46" i="4"/>
  <c r="B46" i="4" s="1"/>
  <c r="J45" i="4"/>
  <c r="H45" i="4"/>
  <c r="F45" i="4"/>
  <c r="D45" i="4"/>
  <c r="A45" i="4"/>
  <c r="B45" i="4" s="1"/>
  <c r="Q38" i="4"/>
  <c r="O38" i="4"/>
  <c r="J38" i="4"/>
  <c r="H38" i="4"/>
  <c r="F38" i="4"/>
  <c r="D38" i="4"/>
  <c r="B38" i="4"/>
  <c r="Q37" i="4"/>
  <c r="O37" i="4"/>
  <c r="J37" i="4"/>
  <c r="H37" i="4"/>
  <c r="F37" i="4"/>
  <c r="D37" i="4"/>
  <c r="B37" i="4"/>
  <c r="Q36" i="4"/>
  <c r="O36" i="4"/>
  <c r="J36" i="4"/>
  <c r="H36" i="4"/>
  <c r="F36" i="4"/>
  <c r="D36" i="4"/>
  <c r="B36" i="4"/>
  <c r="Q35" i="4"/>
  <c r="O35" i="4"/>
  <c r="J35" i="4"/>
  <c r="H35" i="4"/>
  <c r="F35" i="4"/>
  <c r="D35" i="4"/>
  <c r="B35" i="4"/>
  <c r="Q34" i="4"/>
  <c r="O34" i="4"/>
  <c r="J34" i="4"/>
  <c r="H34" i="4"/>
  <c r="F34" i="4"/>
  <c r="D34" i="4"/>
  <c r="B34" i="4"/>
  <c r="Q33" i="4"/>
  <c r="O33" i="4"/>
  <c r="F33" i="4"/>
  <c r="D33" i="4"/>
  <c r="B33" i="4"/>
  <c r="Q32" i="4"/>
  <c r="O32" i="4"/>
  <c r="J32" i="4"/>
  <c r="H32" i="4"/>
  <c r="F32" i="4"/>
  <c r="D32" i="4"/>
  <c r="B32" i="4"/>
  <c r="Q31" i="4"/>
  <c r="O31" i="4"/>
  <c r="J31" i="4"/>
  <c r="H31" i="4"/>
  <c r="F31" i="4"/>
  <c r="D31" i="4"/>
  <c r="B31" i="4"/>
  <c r="Q30" i="4"/>
  <c r="O30" i="4"/>
  <c r="J30" i="4"/>
  <c r="H30" i="4"/>
  <c r="F30" i="4"/>
  <c r="D30" i="4"/>
  <c r="B30" i="4"/>
  <c r="Q29" i="4"/>
  <c r="O29" i="4"/>
  <c r="J29" i="4"/>
  <c r="H29" i="4"/>
  <c r="F29" i="4"/>
  <c r="D29" i="4"/>
  <c r="B29" i="4"/>
  <c r="Q28" i="4"/>
  <c r="O28" i="4"/>
  <c r="J28" i="4"/>
  <c r="H28" i="4"/>
  <c r="F28" i="4"/>
  <c r="D28" i="4"/>
  <c r="B28" i="4"/>
  <c r="Q27" i="4"/>
  <c r="O27" i="4"/>
  <c r="J27" i="4"/>
  <c r="H27" i="4"/>
  <c r="F27" i="4"/>
  <c r="D27" i="4"/>
  <c r="B27" i="4"/>
  <c r="Q26" i="4"/>
  <c r="O26" i="4"/>
  <c r="J26" i="4"/>
  <c r="H26" i="4"/>
  <c r="F26" i="4"/>
  <c r="D26" i="4"/>
  <c r="B26" i="4"/>
  <c r="Q25" i="4"/>
  <c r="O25" i="4"/>
  <c r="J25" i="4"/>
  <c r="H25" i="4"/>
  <c r="F25" i="4"/>
  <c r="D25" i="4"/>
  <c r="B25" i="4"/>
  <c r="Q24" i="4"/>
  <c r="O24" i="4"/>
  <c r="L24" i="4"/>
  <c r="L25" i="4" s="1"/>
  <c r="J24" i="4"/>
  <c r="H24" i="4"/>
  <c r="F24" i="4"/>
  <c r="D24" i="4"/>
  <c r="B24" i="4"/>
  <c r="J17" i="4"/>
  <c r="H17" i="4"/>
  <c r="F17" i="4"/>
  <c r="D17" i="4"/>
  <c r="B17" i="4"/>
  <c r="J16" i="4"/>
  <c r="H16" i="4"/>
  <c r="F16" i="4"/>
  <c r="D16" i="4"/>
  <c r="B16" i="4"/>
  <c r="J15" i="4"/>
  <c r="H15" i="4"/>
  <c r="F15" i="4"/>
  <c r="D15" i="4"/>
  <c r="B15" i="4"/>
  <c r="J14" i="4"/>
  <c r="H14" i="4"/>
  <c r="F14" i="4"/>
  <c r="D14" i="4"/>
  <c r="B14" i="4"/>
  <c r="J13" i="4"/>
  <c r="H13" i="4"/>
  <c r="F13" i="4"/>
  <c r="D13" i="4"/>
  <c r="B13" i="4"/>
  <c r="J12" i="4"/>
  <c r="H12" i="4"/>
  <c r="F12" i="4"/>
  <c r="D12" i="4"/>
  <c r="B12" i="4"/>
  <c r="J11" i="4"/>
  <c r="H11" i="4"/>
  <c r="F11" i="4"/>
  <c r="D11" i="4"/>
  <c r="B11" i="4"/>
  <c r="J10" i="4"/>
  <c r="H10" i="4"/>
  <c r="F10" i="4"/>
  <c r="D10" i="4"/>
  <c r="B10" i="4"/>
  <c r="J9" i="4"/>
  <c r="H9" i="4"/>
  <c r="F9" i="4"/>
  <c r="D9" i="4"/>
  <c r="B9" i="4"/>
  <c r="J8" i="4"/>
  <c r="H8" i="4"/>
  <c r="F8" i="4"/>
  <c r="D8" i="4"/>
  <c r="B8" i="4"/>
  <c r="J7" i="4"/>
  <c r="H7" i="4"/>
  <c r="F7" i="4"/>
  <c r="D7" i="4"/>
  <c r="B7" i="4"/>
  <c r="J6" i="4"/>
  <c r="H6" i="4"/>
  <c r="F6" i="4"/>
  <c r="D6" i="4"/>
  <c r="B6" i="4"/>
  <c r="J5" i="4"/>
  <c r="H5" i="4"/>
  <c r="F5" i="4"/>
  <c r="D5" i="4"/>
  <c r="B5" i="4"/>
  <c r="B149" i="4" l="1"/>
  <c r="A150" i="4"/>
  <c r="L86" i="4"/>
  <c r="M85" i="4"/>
  <c r="B135" i="4"/>
  <c r="A136" i="4"/>
  <c r="B127" i="4"/>
  <c r="A128" i="4"/>
  <c r="B105" i="4"/>
  <c r="A106" i="4"/>
  <c r="B168" i="4"/>
  <c r="A169" i="4"/>
  <c r="B104" i="4"/>
  <c r="B126" i="4"/>
  <c r="B134" i="4"/>
  <c r="B148" i="4"/>
  <c r="M84" i="4"/>
  <c r="L26" i="4"/>
  <c r="M25" i="4"/>
  <c r="M24" i="4"/>
  <c r="A56" i="4"/>
  <c r="B150" i="4" l="1"/>
  <c r="A151" i="4"/>
  <c r="B128" i="4"/>
  <c r="A129" i="4"/>
  <c r="M86" i="4"/>
  <c r="L87" i="4"/>
  <c r="B106" i="4"/>
  <c r="A107" i="4"/>
  <c r="B136" i="4"/>
  <c r="A137" i="4"/>
  <c r="B169" i="4"/>
  <c r="A170" i="4"/>
  <c r="B56" i="4"/>
  <c r="A57" i="4"/>
  <c r="B57" i="4" s="1"/>
  <c r="L27" i="4"/>
  <c r="M26" i="4"/>
  <c r="B137" i="4" l="1"/>
  <c r="A138" i="4"/>
  <c r="A108" i="4"/>
  <c r="B107" i="4"/>
  <c r="B151" i="4"/>
  <c r="A152" i="4"/>
  <c r="L88" i="4"/>
  <c r="M87" i="4"/>
  <c r="A171" i="4"/>
  <c r="B170" i="4"/>
  <c r="B129" i="4"/>
  <c r="A130" i="4"/>
  <c r="L28" i="4"/>
  <c r="M27" i="4"/>
  <c r="A109" i="4" l="1"/>
  <c r="B108" i="4"/>
  <c r="A139" i="4"/>
  <c r="B139" i="4" s="1"/>
  <c r="B138" i="4"/>
  <c r="B171" i="4"/>
  <c r="A172" i="4"/>
  <c r="L89" i="4"/>
  <c r="M88" i="4"/>
  <c r="A153" i="4"/>
  <c r="B152" i="4"/>
  <c r="A131" i="4"/>
  <c r="B131" i="4" s="1"/>
  <c r="B130" i="4"/>
  <c r="L29" i="4"/>
  <c r="M28" i="4"/>
  <c r="B172" i="4" l="1"/>
  <c r="A173" i="4"/>
  <c r="B153" i="4"/>
  <c r="A154" i="4"/>
  <c r="L90" i="4"/>
  <c r="M89" i="4"/>
  <c r="B109" i="4"/>
  <c r="A110" i="4"/>
  <c r="L30" i="4"/>
  <c r="M29" i="4"/>
  <c r="M90" i="4" l="1"/>
  <c r="L91" i="4"/>
  <c r="B110" i="4"/>
  <c r="A111" i="4"/>
  <c r="B154" i="4"/>
  <c r="A155" i="4"/>
  <c r="B173" i="4"/>
  <c r="A174" i="4"/>
  <c r="L31" i="4"/>
  <c r="M30" i="4"/>
  <c r="L92" i="4" l="1"/>
  <c r="M91" i="4"/>
  <c r="A175" i="4"/>
  <c r="B174" i="4"/>
  <c r="B155" i="4"/>
  <c r="A156" i="4"/>
  <c r="B111" i="4"/>
  <c r="A112" i="4"/>
  <c r="L32" i="4"/>
  <c r="M31" i="4"/>
  <c r="A113" i="4" l="1"/>
  <c r="B112" i="4"/>
  <c r="A157" i="4"/>
  <c r="B156" i="4"/>
  <c r="B175" i="4"/>
  <c r="A176" i="4"/>
  <c r="L93" i="4"/>
  <c r="M92" i="4"/>
  <c r="M32" i="4"/>
  <c r="L33" i="4"/>
  <c r="B157" i="4" l="1"/>
  <c r="A158" i="4"/>
  <c r="B113" i="4"/>
  <c r="A114" i="4"/>
  <c r="L94" i="4"/>
  <c r="M93" i="4"/>
  <c r="B176" i="4"/>
  <c r="A177" i="4"/>
  <c r="L34" i="4"/>
  <c r="M33" i="4"/>
  <c r="B158" i="4" l="1"/>
  <c r="A159" i="4"/>
  <c r="B177" i="4"/>
  <c r="A178" i="4"/>
  <c r="M94" i="4"/>
  <c r="L95" i="4"/>
  <c r="B114" i="4"/>
  <c r="A115" i="4"/>
  <c r="L35" i="4"/>
  <c r="M34" i="4"/>
  <c r="A116" i="4" l="1"/>
  <c r="B115" i="4"/>
  <c r="M95" i="4"/>
  <c r="L96" i="4"/>
  <c r="M96" i="4" s="1"/>
  <c r="A179" i="4"/>
  <c r="B178" i="4"/>
  <c r="B159" i="4"/>
  <c r="A160" i="4"/>
  <c r="B160" i="4" s="1"/>
  <c r="L36" i="4"/>
  <c r="M35" i="4"/>
  <c r="A117" i="4" l="1"/>
  <c r="B116" i="4"/>
  <c r="B179" i="4"/>
  <c r="A180" i="4"/>
  <c r="L37" i="4"/>
  <c r="M36" i="4"/>
  <c r="B117" i="4" l="1"/>
  <c r="A118" i="4"/>
  <c r="B118" i="4" s="1"/>
  <c r="B180" i="4"/>
  <c r="A181" i="4"/>
  <c r="B181" i="4" s="1"/>
  <c r="L38" i="4"/>
  <c r="M38" i="4" s="1"/>
  <c r="M37" i="4"/>
  <c r="M51" i="2" l="1"/>
  <c r="I51" i="2"/>
  <c r="Q51" i="2" s="1"/>
  <c r="O50" i="2"/>
  <c r="M50" i="2"/>
  <c r="I50" i="2"/>
  <c r="Q50" i="2" s="1"/>
  <c r="M49" i="2"/>
  <c r="I49" i="2"/>
  <c r="Q49" i="2" s="1"/>
  <c r="E49" i="2"/>
  <c r="Q48" i="2"/>
  <c r="M48" i="2"/>
  <c r="I48" i="2"/>
  <c r="O48" i="2" s="1"/>
  <c r="R48" i="2" s="1"/>
  <c r="E48" i="2"/>
  <c r="M47" i="2"/>
  <c r="O47" i="2" s="1"/>
  <c r="R47" i="2" s="1"/>
  <c r="I47" i="2"/>
  <c r="E47" i="2"/>
  <c r="M46" i="2"/>
  <c r="Q46" i="2" s="1"/>
  <c r="I46" i="2"/>
  <c r="M45" i="2"/>
  <c r="I45" i="2"/>
  <c r="Q45" i="2" s="1"/>
  <c r="M44" i="2"/>
  <c r="I44" i="2"/>
  <c r="Q44" i="2" s="1"/>
  <c r="M43" i="2"/>
  <c r="I43" i="2"/>
  <c r="Q43" i="2" s="1"/>
  <c r="Q42" i="2"/>
  <c r="M42" i="2"/>
  <c r="I42" i="2"/>
  <c r="O42" i="2" s="1"/>
  <c r="R42" i="2" s="1"/>
  <c r="R41" i="2"/>
  <c r="O41" i="2"/>
  <c r="M41" i="2"/>
  <c r="I41" i="2"/>
  <c r="Q41" i="2" s="1"/>
  <c r="Q40" i="2"/>
  <c r="M40" i="2"/>
  <c r="I40" i="2"/>
  <c r="O40" i="2" s="1"/>
  <c r="R40" i="2" s="1"/>
  <c r="O39" i="2"/>
  <c r="R39" i="2" s="1"/>
  <c r="M39" i="2"/>
  <c r="I39" i="2"/>
  <c r="Q39" i="2" s="1"/>
  <c r="M38" i="2"/>
  <c r="Q38" i="2" s="1"/>
  <c r="I38" i="2"/>
  <c r="M37" i="2"/>
  <c r="I37" i="2"/>
  <c r="Q37" i="2" s="1"/>
  <c r="D37" i="2"/>
  <c r="E37" i="2" s="1"/>
  <c r="C29" i="2"/>
  <c r="M20" i="2"/>
  <c r="I20" i="2"/>
  <c r="Q20" i="2" s="1"/>
  <c r="R19" i="2"/>
  <c r="M19" i="2"/>
  <c r="I19" i="2"/>
  <c r="Q19" i="2" s="1"/>
  <c r="D19" i="2"/>
  <c r="D20" i="2" s="1"/>
  <c r="E20" i="2" s="1"/>
  <c r="Q18" i="2"/>
  <c r="O18" i="2"/>
  <c r="M18" i="2"/>
  <c r="I18" i="2"/>
  <c r="R17" i="2"/>
  <c r="O17" i="2"/>
  <c r="M17" i="2"/>
  <c r="I17" i="2"/>
  <c r="Q17" i="2" s="1"/>
  <c r="D17" i="2"/>
  <c r="E17" i="2" s="1"/>
  <c r="Q16" i="2"/>
  <c r="M16" i="2"/>
  <c r="I16" i="2"/>
  <c r="O16" i="2" s="1"/>
  <c r="R15" i="2"/>
  <c r="O15" i="2"/>
  <c r="M15" i="2"/>
  <c r="I15" i="2"/>
  <c r="Q15" i="2" s="1"/>
  <c r="M14" i="2"/>
  <c r="Q14" i="2" s="1"/>
  <c r="I14" i="2"/>
  <c r="E14" i="2"/>
  <c r="D14" i="2"/>
  <c r="D15" i="2" s="1"/>
  <c r="C6" i="2"/>
  <c r="R18" i="2" s="1"/>
  <c r="E15" i="2" l="1"/>
  <c r="D16" i="2"/>
  <c r="E16" i="2" s="1"/>
  <c r="Q47" i="2"/>
  <c r="O14" i="2"/>
  <c r="R16" i="2"/>
  <c r="D18" i="2"/>
  <c r="E18" i="2" s="1"/>
  <c r="E19" i="2"/>
  <c r="O38" i="2"/>
  <c r="R38" i="2" s="1"/>
  <c r="O46" i="2"/>
  <c r="R46" i="2" s="1"/>
  <c r="O37" i="2"/>
  <c r="R37" i="2" s="1"/>
  <c r="O45" i="2"/>
  <c r="R45" i="2" s="1"/>
  <c r="R14" i="2"/>
  <c r="O20" i="2"/>
  <c r="D40" i="2"/>
  <c r="O44" i="2"/>
  <c r="R44" i="2" s="1"/>
  <c r="O49" i="2"/>
  <c r="R49" i="2" s="1"/>
  <c r="O19" i="2"/>
  <c r="O43" i="2"/>
  <c r="R43" i="2" s="1"/>
  <c r="O51" i="2"/>
  <c r="D38" i="2"/>
  <c r="E40" i="2" l="1"/>
  <c r="D41" i="2"/>
  <c r="E41" i="2" s="1"/>
  <c r="D42" i="2"/>
  <c r="E38" i="2"/>
  <c r="D39" i="2"/>
  <c r="E39" i="2" s="1"/>
  <c r="E42" i="2" l="1"/>
  <c r="D43" i="2"/>
  <c r="D44" i="2" l="1"/>
  <c r="E44" i="2" s="1"/>
  <c r="D45" i="2"/>
  <c r="E43" i="2"/>
  <c r="E45" i="2" l="1"/>
  <c r="D46" i="2"/>
  <c r="E46" i="2" s="1"/>
  <c r="M96" i="1"/>
  <c r="P96" i="1" s="1"/>
  <c r="K96" i="1"/>
  <c r="L96" i="1" s="1"/>
  <c r="O96" i="1" s="1"/>
  <c r="G96" i="1"/>
  <c r="M95" i="1"/>
  <c r="P95" i="1" s="1"/>
  <c r="L95" i="1"/>
  <c r="O95" i="1" s="1"/>
  <c r="K95" i="1"/>
  <c r="G95" i="1"/>
  <c r="M94" i="1"/>
  <c r="P94" i="1" s="1"/>
  <c r="K94" i="1"/>
  <c r="L94" i="1" s="1"/>
  <c r="O94" i="1" s="1"/>
  <c r="G94" i="1"/>
  <c r="M93" i="1"/>
  <c r="G93" i="1"/>
  <c r="M92" i="1"/>
  <c r="P92" i="1" s="1"/>
  <c r="K92" i="1"/>
  <c r="L92" i="1" s="1"/>
  <c r="O92" i="1" s="1"/>
  <c r="G92" i="1"/>
  <c r="M91" i="1"/>
  <c r="P91" i="1" s="1"/>
  <c r="L91" i="1"/>
  <c r="O91" i="1" s="1"/>
  <c r="K91" i="1"/>
  <c r="G91" i="1"/>
  <c r="D91" i="1"/>
  <c r="D92" i="1" s="1"/>
  <c r="D93" i="1" s="1"/>
  <c r="D94" i="1" s="1"/>
  <c r="D95" i="1" s="1"/>
  <c r="D96" i="1" s="1"/>
  <c r="M90" i="1"/>
  <c r="P90" i="1" s="1"/>
  <c r="K90" i="1"/>
  <c r="L90" i="1" s="1"/>
  <c r="O90" i="1" s="1"/>
  <c r="G90" i="1"/>
  <c r="D84" i="1"/>
  <c r="P80" i="1"/>
  <c r="M80" i="1"/>
  <c r="G80" i="1"/>
  <c r="P79" i="1"/>
  <c r="M79" i="1"/>
  <c r="K79" i="1"/>
  <c r="L79" i="1" s="1"/>
  <c r="O79" i="1" s="1"/>
  <c r="G79" i="1"/>
  <c r="M78" i="1"/>
  <c r="P78" i="1" s="1"/>
  <c r="K78" i="1"/>
  <c r="L78" i="1" s="1"/>
  <c r="O78" i="1" s="1"/>
  <c r="G78" i="1"/>
  <c r="M77" i="1"/>
  <c r="G77" i="1"/>
  <c r="P76" i="1"/>
  <c r="M76" i="1"/>
  <c r="L76" i="1"/>
  <c r="O76" i="1" s="1"/>
  <c r="K76" i="1"/>
  <c r="G76" i="1"/>
  <c r="D76" i="1"/>
  <c r="D77" i="1" s="1"/>
  <c r="D78" i="1" s="1"/>
  <c r="D79" i="1" s="1"/>
  <c r="D80" i="1" s="1"/>
  <c r="P75" i="1"/>
  <c r="M75" i="1"/>
  <c r="K75" i="1"/>
  <c r="L75" i="1" s="1"/>
  <c r="O75" i="1" s="1"/>
  <c r="G75" i="1"/>
  <c r="D75" i="1"/>
  <c r="M74" i="1"/>
  <c r="P74" i="1" s="1"/>
  <c r="G74" i="1"/>
  <c r="H68" i="1"/>
  <c r="D68" i="1"/>
  <c r="P64" i="1"/>
  <c r="M64" i="1"/>
  <c r="K64" i="1"/>
  <c r="L64" i="1" s="1"/>
  <c r="O64" i="1" s="1"/>
  <c r="G64" i="1"/>
  <c r="P63" i="1"/>
  <c r="M63" i="1"/>
  <c r="K63" i="1"/>
  <c r="L63" i="1" s="1"/>
  <c r="O63" i="1" s="1"/>
  <c r="G63" i="1"/>
  <c r="M62" i="1"/>
  <c r="P62" i="1" s="1"/>
  <c r="K62" i="1"/>
  <c r="L62" i="1" s="1"/>
  <c r="O62" i="1" s="1"/>
  <c r="G62" i="1"/>
  <c r="M61" i="1"/>
  <c r="K61" i="1"/>
  <c r="G61" i="1"/>
  <c r="D61" i="1"/>
  <c r="D62" i="1" s="1"/>
  <c r="D63" i="1" s="1"/>
  <c r="D64" i="1" s="1"/>
  <c r="M60" i="1"/>
  <c r="P60" i="1" s="1"/>
  <c r="K60" i="1"/>
  <c r="L60" i="1" s="1"/>
  <c r="O60" i="1" s="1"/>
  <c r="G60" i="1"/>
  <c r="D60" i="1"/>
  <c r="P59" i="1"/>
  <c r="M59" i="1"/>
  <c r="K59" i="1"/>
  <c r="L59" i="1" s="1"/>
  <c r="O59" i="1" s="1"/>
  <c r="G59" i="1"/>
  <c r="D59" i="1"/>
  <c r="P58" i="1"/>
  <c r="M58" i="1"/>
  <c r="K58" i="1"/>
  <c r="L58" i="1" s="1"/>
  <c r="O58" i="1" s="1"/>
  <c r="G58" i="1"/>
  <c r="D52" i="1"/>
  <c r="M48" i="1"/>
  <c r="P48" i="1" s="1"/>
  <c r="G48" i="1"/>
  <c r="M47" i="1"/>
  <c r="P47" i="1" s="1"/>
  <c r="L47" i="1"/>
  <c r="O47" i="1" s="1"/>
  <c r="K47" i="1"/>
  <c r="G47" i="1"/>
  <c r="M46" i="1"/>
  <c r="P46" i="1" s="1"/>
  <c r="K46" i="1"/>
  <c r="L46" i="1" s="1"/>
  <c r="O46" i="1" s="1"/>
  <c r="G46" i="1"/>
  <c r="P45" i="1"/>
  <c r="M45" i="1"/>
  <c r="K45" i="1"/>
  <c r="L45" i="1" s="1"/>
  <c r="O45" i="1" s="1"/>
  <c r="G45" i="1"/>
  <c r="P44" i="1"/>
  <c r="M44" i="1"/>
  <c r="K44" i="1"/>
  <c r="L44" i="1" s="1"/>
  <c r="O44" i="1" s="1"/>
  <c r="G44" i="1"/>
  <c r="D44" i="1"/>
  <c r="D45" i="1" s="1"/>
  <c r="D46" i="1" s="1"/>
  <c r="D47" i="1" s="1"/>
  <c r="D48" i="1" s="1"/>
  <c r="M43" i="1"/>
  <c r="K43" i="1"/>
  <c r="L43" i="1" s="1"/>
  <c r="G43" i="1"/>
  <c r="D43" i="1"/>
  <c r="M42" i="1"/>
  <c r="K42" i="1"/>
  <c r="L42" i="1" s="1"/>
  <c r="G42" i="1"/>
  <c r="H36" i="1"/>
  <c r="D36" i="1"/>
  <c r="M32" i="1"/>
  <c r="P32" i="1" s="1"/>
  <c r="K32" i="1"/>
  <c r="L32" i="1" s="1"/>
  <c r="O32" i="1" s="1"/>
  <c r="G32" i="1"/>
  <c r="P31" i="1"/>
  <c r="M31" i="1"/>
  <c r="K31" i="1"/>
  <c r="L31" i="1" s="1"/>
  <c r="O31" i="1" s="1"/>
  <c r="G31" i="1"/>
  <c r="P30" i="1"/>
  <c r="M30" i="1"/>
  <c r="K30" i="1"/>
  <c r="L30" i="1" s="1"/>
  <c r="O30" i="1" s="1"/>
  <c r="G30" i="1"/>
  <c r="D30" i="1"/>
  <c r="D31" i="1" s="1"/>
  <c r="D32" i="1" s="1"/>
  <c r="M29" i="1"/>
  <c r="P29" i="1" s="1"/>
  <c r="K29" i="1"/>
  <c r="L29" i="1" s="1"/>
  <c r="O29" i="1" s="1"/>
  <c r="G29" i="1"/>
  <c r="D29" i="1"/>
  <c r="P28" i="1"/>
  <c r="M28" i="1"/>
  <c r="L28" i="1"/>
  <c r="O28" i="1" s="1"/>
  <c r="K28" i="1"/>
  <c r="G28" i="1"/>
  <c r="D28" i="1"/>
  <c r="P27" i="1"/>
  <c r="M27" i="1"/>
  <c r="K27" i="1"/>
  <c r="L27" i="1" s="1"/>
  <c r="O27" i="1" s="1"/>
  <c r="G27" i="1"/>
  <c r="D27" i="1"/>
  <c r="M26" i="1"/>
  <c r="P26" i="1" s="1"/>
  <c r="K26" i="1"/>
  <c r="L26" i="1" s="1"/>
  <c r="O26" i="1" s="1"/>
  <c r="G26" i="1"/>
  <c r="H20" i="1"/>
  <c r="D20" i="1"/>
  <c r="M16" i="1"/>
  <c r="P16" i="1" s="1"/>
  <c r="K16" i="1"/>
  <c r="L16" i="1" s="1"/>
  <c r="O16" i="1" s="1"/>
  <c r="G16" i="1"/>
  <c r="M15" i="1"/>
  <c r="P15" i="1" s="1"/>
  <c r="L15" i="1"/>
  <c r="O15" i="1" s="1"/>
  <c r="K15" i="1"/>
  <c r="G15" i="1"/>
  <c r="M14" i="1"/>
  <c r="P14" i="1" s="1"/>
  <c r="K14" i="1"/>
  <c r="L14" i="1" s="1"/>
  <c r="O14" i="1" s="1"/>
  <c r="G14" i="1"/>
  <c r="P13" i="1"/>
  <c r="M13" i="1"/>
  <c r="K13" i="1"/>
  <c r="L13" i="1" s="1"/>
  <c r="O13" i="1" s="1"/>
  <c r="G13" i="1"/>
  <c r="P12" i="1"/>
  <c r="M12" i="1"/>
  <c r="K12" i="1"/>
  <c r="L12" i="1" s="1"/>
  <c r="O12" i="1" s="1"/>
  <c r="G12" i="1"/>
  <c r="D12" i="1"/>
  <c r="D13" i="1" s="1"/>
  <c r="D14" i="1" s="1"/>
  <c r="D15" i="1" s="1"/>
  <c r="D16" i="1" s="1"/>
  <c r="M11" i="1"/>
  <c r="P11" i="1" s="1"/>
  <c r="K11" i="1"/>
  <c r="L11" i="1" s="1"/>
  <c r="O11" i="1" s="1"/>
  <c r="G11" i="1"/>
  <c r="D11" i="1"/>
  <c r="K10" i="1"/>
  <c r="G10" i="1"/>
  <c r="H4" i="1"/>
  <c r="D4" i="1"/>
</calcChain>
</file>

<file path=xl/sharedStrings.xml><?xml version="1.0" encoding="utf-8"?>
<sst xmlns="http://schemas.openxmlformats.org/spreadsheetml/2006/main" count="580" uniqueCount="125">
  <si>
    <t>Siderite precipitation batch experiments</t>
  </si>
  <si>
    <t>2.5 mM A</t>
  </si>
  <si>
    <t>Fe(II)</t>
  </si>
  <si>
    <t>Total weight</t>
  </si>
  <si>
    <t>NaHCO3</t>
  </si>
  <si>
    <t>Siderite weight</t>
  </si>
  <si>
    <t>Specific Surface area Siderite</t>
  </si>
  <si>
    <t>T-step</t>
  </si>
  <si>
    <t>Date</t>
  </si>
  <si>
    <t>Time</t>
  </si>
  <si>
    <t>Time past</t>
  </si>
  <si>
    <t>Weight syringe/tube</t>
  </si>
  <si>
    <t>Weight syring/tube + sample</t>
  </si>
  <si>
    <t xml:space="preserve">Dilution GB acidification </t>
  </si>
  <si>
    <t>Weight dilution tube</t>
  </si>
  <si>
    <t>Weight tube + HCl</t>
  </si>
  <si>
    <t>Dilution factor</t>
  </si>
  <si>
    <t xml:space="preserve">Total dilution factor </t>
  </si>
  <si>
    <t>Theoratical dilution factor</t>
  </si>
  <si>
    <t>Fe(II) - diluted</t>
  </si>
  <si>
    <t>Fe(II) - undiluted</t>
  </si>
  <si>
    <t>Fe(II) - undiluted (TD)</t>
  </si>
  <si>
    <t>h</t>
  </si>
  <si>
    <t>g</t>
  </si>
  <si>
    <t>ppm</t>
  </si>
  <si>
    <t>mM</t>
  </si>
  <si>
    <t>2.5 mM B</t>
  </si>
  <si>
    <t>5 mM A</t>
  </si>
  <si>
    <t>5 mM B</t>
  </si>
  <si>
    <t>10 mM A</t>
  </si>
  <si>
    <t>10 mM B</t>
  </si>
  <si>
    <t>Siderite precipitation FT - Reactor A</t>
  </si>
  <si>
    <t>Weight Siderite</t>
  </si>
  <si>
    <t>Surface area siderite (cm2)</t>
  </si>
  <si>
    <t>#guess based on previous measurments</t>
  </si>
  <si>
    <t>Flow rate (g/s)</t>
  </si>
  <si>
    <t>T- start</t>
  </si>
  <si>
    <t>Precipitation rate (mol/cm2/s)</t>
  </si>
  <si>
    <t>SAMPLING</t>
  </si>
  <si>
    <t>DILUTION IN GLOVEBOX</t>
  </si>
  <si>
    <t>DILUTION AT AMBIENT CONDITIONS</t>
  </si>
  <si>
    <t>MEASUREMENTS</t>
  </si>
  <si>
    <t>CALCULATIONS</t>
  </si>
  <si>
    <t>Weight tube</t>
  </si>
  <si>
    <t>Weight tube + HCL</t>
  </si>
  <si>
    <t>Total weigh (inc. sample)</t>
  </si>
  <si>
    <t>Dilution GB</t>
  </si>
  <si>
    <t>Dillution Ambient</t>
  </si>
  <si>
    <t>Diluted [Fe(II)]</t>
  </si>
  <si>
    <t>Undiluted [Fe(II)]</t>
  </si>
  <si>
    <t>Diluted [Fe(III)]</t>
  </si>
  <si>
    <t>Undiluted [Fe(III)]</t>
  </si>
  <si>
    <t>Dissolution rates</t>
  </si>
  <si>
    <t>(h)</t>
  </si>
  <si>
    <t>(s)</t>
  </si>
  <si>
    <t>(g)</t>
  </si>
  <si>
    <t>mol/s/cm2</t>
  </si>
  <si>
    <t>Siderite precipitation FT - Reactor B</t>
  </si>
  <si>
    <t>11:50 (with flow)</t>
  </si>
  <si>
    <t>Total weigh (inc) sample</t>
  </si>
  <si>
    <t>k</t>
  </si>
  <si>
    <t>Summary Fe(II) oxidation rate - mM</t>
  </si>
  <si>
    <t>Try to find the best fit</t>
  </si>
  <si>
    <t xml:space="preserve">pH </t>
  </si>
  <si>
    <t>OH</t>
  </si>
  <si>
    <t>Fe(II) M</t>
  </si>
  <si>
    <t>O2</t>
  </si>
  <si>
    <t>Rate(mol/s)</t>
  </si>
  <si>
    <t>rate (mol/min)</t>
  </si>
  <si>
    <t>log(rate)</t>
  </si>
  <si>
    <t>Model</t>
  </si>
  <si>
    <t>xhi^2</t>
  </si>
  <si>
    <t>log(Model)</t>
  </si>
  <si>
    <t>Model (theory)</t>
  </si>
  <si>
    <t>log(Model) (theory)</t>
  </si>
  <si>
    <t>Fabio</t>
  </si>
  <si>
    <t>me again</t>
  </si>
  <si>
    <t>X^2 sum</t>
  </si>
  <si>
    <t>R^2</t>
  </si>
  <si>
    <t>Try to fit the data to the gow rate laws</t>
  </si>
  <si>
    <t>Rate constant (M-3/min)</t>
  </si>
  <si>
    <t>log(Rate constant k)</t>
  </si>
  <si>
    <t>FeIICit oxidation constants</t>
  </si>
  <si>
    <t>Reaction</t>
  </si>
  <si>
    <t>pH</t>
  </si>
  <si>
    <t>Buffer</t>
  </si>
  <si>
    <t>Rate constant (M-1/min)</t>
  </si>
  <si>
    <t>FeIICit + O2 -&gt; FeIIICit + HO2/O2.</t>
  </si>
  <si>
    <t>DEPP</t>
  </si>
  <si>
    <t>M-1min-1</t>
  </si>
  <si>
    <t>MES hydrate</t>
  </si>
  <si>
    <t>Pure FeII reaction</t>
  </si>
  <si>
    <t>FeII + O2 -&gt; FeIII + HO2/O2.</t>
  </si>
  <si>
    <t>FeIIEDTA oxidation constant</t>
  </si>
  <si>
    <t>FeIIEDTA + O2 -&gt; FEIIIEDTA + HO2/O2.-</t>
  </si>
  <si>
    <t>pH 1.7 dissolution experiments</t>
  </si>
  <si>
    <t>Reactor A</t>
  </si>
  <si>
    <t>Reactor B</t>
  </si>
  <si>
    <t>Time past (s)</t>
  </si>
  <si>
    <t>Time past (h)</t>
  </si>
  <si>
    <t>Fe(II) (mmol/gr)</t>
  </si>
  <si>
    <t>Fe(II) (M)*10^5</t>
  </si>
  <si>
    <t>Fe(total) (mmol/gr)</t>
  </si>
  <si>
    <t>Fe(total) (M)*10^5</t>
  </si>
  <si>
    <t>pH 2.7 dissolution experiments</t>
  </si>
  <si>
    <t>ANOXIC</t>
  </si>
  <si>
    <t>pH 4.0 dissolution experiments</t>
  </si>
  <si>
    <t>pH 1.7 oxalic acid dissolution experiments</t>
  </si>
  <si>
    <t>pH 2.7 oxalic acid dissolution experiments</t>
  </si>
  <si>
    <t>pH 1.7 citric acid dissolution experiments</t>
  </si>
  <si>
    <t>pH 2.7 citric acid dissolution experiments</t>
  </si>
  <si>
    <t>pH 1.7 acetic acid dissolution experiments</t>
  </si>
  <si>
    <t xml:space="preserve"> </t>
  </si>
  <si>
    <t>pH 2.7 acetic acid dissolution experiments</t>
  </si>
  <si>
    <t>Siderite dissolution pH 7x1 A</t>
  </si>
  <si>
    <t>Weight reactor -empty</t>
  </si>
  <si>
    <t>Weight reactor - no lid</t>
  </si>
  <si>
    <t>Weight reactor - full</t>
  </si>
  <si>
    <t>Dissolution rate (mol/cm2/s)</t>
  </si>
  <si>
    <t>DILUTION</t>
  </si>
  <si>
    <t>Weight sampling tube</t>
  </si>
  <si>
    <t>Weigth tube + 0.1 HCl</t>
  </si>
  <si>
    <t>Total weight (incl. Sample)</t>
  </si>
  <si>
    <t>Dillution factor</t>
  </si>
  <si>
    <t>Siderite dissolution pH 7x1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</si>
</sst>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rgb="FFFF99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 (Body)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A0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BF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3FF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0" xfId="0" applyNumberFormat="1"/>
    <xf numFmtId="20" fontId="0" fillId="0" borderId="0" xfId="0" applyNumberFormat="1"/>
    <xf numFmtId="0" fontId="5" fillId="0" borderId="0" xfId="0" applyFont="1"/>
    <xf numFmtId="0" fontId="6" fillId="3" borderId="0" xfId="0" applyFont="1" applyFill="1"/>
    <xf numFmtId="0" fontId="7" fillId="3" borderId="0" xfId="0" applyFont="1" applyFill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2" fontId="0" fillId="0" borderId="0" xfId="0" applyNumberFormat="1"/>
    <xf numFmtId="0" fontId="8" fillId="0" borderId="0" xfId="0" applyFont="1" applyAlignment="1">
      <alignment horizontal="left"/>
    </xf>
    <xf numFmtId="0" fontId="8" fillId="4" borderId="0" xfId="0" applyFont="1" applyFill="1"/>
    <xf numFmtId="0" fontId="0" fillId="4" borderId="0" xfId="0" applyFill="1"/>
    <xf numFmtId="0" fontId="8" fillId="5" borderId="0" xfId="0" applyFont="1" applyFill="1"/>
    <xf numFmtId="0" fontId="0" fillId="5" borderId="0" xfId="0" applyFill="1"/>
    <xf numFmtId="0" fontId="8" fillId="6" borderId="0" xfId="0" applyFont="1" applyFill="1"/>
    <xf numFmtId="0" fontId="0" fillId="6" borderId="0" xfId="0" applyFill="1"/>
    <xf numFmtId="0" fontId="8" fillId="7" borderId="0" xfId="0" applyFont="1" applyFill="1"/>
    <xf numFmtId="0" fontId="0" fillId="7" borderId="0" xfId="0" applyFill="1"/>
    <xf numFmtId="0" fontId="8" fillId="8" borderId="0" xfId="0" applyFont="1" applyFill="1"/>
    <xf numFmtId="0" fontId="8" fillId="9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0" fontId="0" fillId="13" borderId="2" xfId="0" applyFill="1" applyBorder="1"/>
    <xf numFmtId="0" fontId="11" fillId="13" borderId="2" xfId="0" applyFont="1" applyFill="1" applyBorder="1" applyAlignment="1">
      <alignment horizontal="center"/>
    </xf>
    <xf numFmtId="0" fontId="11" fillId="14" borderId="2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6" borderId="2" xfId="0" applyFont="1" applyFill="1" applyBorder="1" applyAlignment="1">
      <alignment horizontal="center"/>
    </xf>
    <xf numFmtId="0" fontId="11" fillId="17" borderId="2" xfId="0" applyFont="1" applyFill="1" applyBorder="1" applyAlignment="1">
      <alignment horizontal="center"/>
    </xf>
    <xf numFmtId="0" fontId="0" fillId="17" borderId="2" xfId="0" applyFill="1" applyBorder="1"/>
    <xf numFmtId="16" fontId="0" fillId="0" borderId="0" xfId="0" applyNumberFormat="1"/>
    <xf numFmtId="0" fontId="1" fillId="0" borderId="0" xfId="0" applyFont="1"/>
    <xf numFmtId="11" fontId="0" fillId="0" borderId="0" xfId="0" applyNumberFormat="1"/>
    <xf numFmtId="0" fontId="12" fillId="2" borderId="0" xfId="0" applyFont="1" applyFill="1"/>
    <xf numFmtId="0" fontId="0" fillId="9" borderId="0" xfId="0" applyFill="1"/>
    <xf numFmtId="0" fontId="8" fillId="9" borderId="0" xfId="0" applyFont="1" applyFill="1"/>
    <xf numFmtId="0" fontId="13" fillId="9" borderId="0" xfId="0" applyFont="1" applyFill="1"/>
    <xf numFmtId="0" fontId="8" fillId="13" borderId="0" xfId="0" applyFont="1" applyFill="1"/>
    <xf numFmtId="0" fontId="8" fillId="0" borderId="0" xfId="0" applyFont="1"/>
    <xf numFmtId="0" fontId="13" fillId="0" borderId="0" xfId="0" applyFont="1"/>
    <xf numFmtId="0" fontId="10" fillId="0" borderId="0" xfId="0" applyFont="1"/>
    <xf numFmtId="0" fontId="2" fillId="0" borderId="0" xfId="0" applyFont="1"/>
    <xf numFmtId="0" fontId="8" fillId="0" borderId="1" xfId="0" applyFont="1" applyBorder="1" applyAlignment="1">
      <alignment horizontal="left"/>
    </xf>
    <xf numFmtId="2" fontId="0" fillId="0" borderId="0" xfId="0" quotePrefix="1" applyNumberFormat="1"/>
    <xf numFmtId="0" fontId="4" fillId="17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13648293963255"/>
          <c:y val="5.0925925925925923E-2"/>
          <c:w val="0.7919885254964335"/>
          <c:h val="0.73992971404890173"/>
        </c:manualLayout>
      </c:layout>
      <c:scatterChart>
        <c:scatterStyle val="lineMarker"/>
        <c:varyColors val="0"/>
        <c:ser>
          <c:idx val="0"/>
          <c:order val="0"/>
          <c:tx>
            <c:v>2.5mM - 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'[1]Experimental Data'!$D$11:$D$16</c:f>
              <c:numCache>
                <c:formatCode>General</c:formatCode>
                <c:ptCount val="6"/>
                <c:pt idx="0">
                  <c:v>2.85</c:v>
                </c:pt>
                <c:pt idx="1">
                  <c:v>23.950000000000003</c:v>
                </c:pt>
                <c:pt idx="2">
                  <c:v>27.950000000000003</c:v>
                </c:pt>
                <c:pt idx="3">
                  <c:v>50.95</c:v>
                </c:pt>
                <c:pt idx="4">
                  <c:v>73.533333333333331</c:v>
                </c:pt>
                <c:pt idx="5">
                  <c:v>97.2</c:v>
                </c:pt>
              </c:numCache>
            </c:numRef>
          </c:xVal>
          <c:yVal>
            <c:numRef>
              <c:f>'[1]Experimental Data'!$P$11:$P$16</c:f>
              <c:numCache>
                <c:formatCode>General</c:formatCode>
                <c:ptCount val="6"/>
                <c:pt idx="0">
                  <c:v>7.6421255358394928</c:v>
                </c:pt>
                <c:pt idx="1">
                  <c:v>9.0199629746963925</c:v>
                </c:pt>
                <c:pt idx="2">
                  <c:v>9.6104647342064933</c:v>
                </c:pt>
                <c:pt idx="3">
                  <c:v>9.0986965426310746</c:v>
                </c:pt>
                <c:pt idx="4">
                  <c:v>9.8072986540431941</c:v>
                </c:pt>
                <c:pt idx="5">
                  <c:v>9.8860322219778745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51-4016-A76D-4E9D0C61F943}"/>
            </c:ext>
          </c:extLst>
        </c:ser>
        <c:ser>
          <c:idx val="1"/>
          <c:order val="1"/>
          <c:tx>
            <c:v>2.5mM -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'[1]Experimental Data'!$D$26:$D$32</c:f>
              <c:numCache>
                <c:formatCode>General</c:formatCode>
                <c:ptCount val="7"/>
                <c:pt idx="0">
                  <c:v>0</c:v>
                </c:pt>
                <c:pt idx="1">
                  <c:v>2.85</c:v>
                </c:pt>
                <c:pt idx="2">
                  <c:v>23.950000000000003</c:v>
                </c:pt>
                <c:pt idx="3">
                  <c:v>27.950000000000003</c:v>
                </c:pt>
                <c:pt idx="4">
                  <c:v>50.95</c:v>
                </c:pt>
                <c:pt idx="5">
                  <c:v>73.533333333333331</c:v>
                </c:pt>
                <c:pt idx="6">
                  <c:v>97.2</c:v>
                </c:pt>
              </c:numCache>
            </c:numRef>
          </c:xVal>
          <c:yVal>
            <c:numRef>
              <c:f>'[1]Experimental Data'!$P$26:$P$32</c:f>
              <c:numCache>
                <c:formatCode>General</c:formatCode>
                <c:ptCount val="7"/>
                <c:pt idx="0">
                  <c:v>7.9176930236108731</c:v>
                </c:pt>
                <c:pt idx="1">
                  <c:v>9.2167968945330934</c:v>
                </c:pt>
                <c:pt idx="2">
                  <c:v>7.5633919679048125</c:v>
                </c:pt>
                <c:pt idx="3">
                  <c:v>9.4923643823044728</c:v>
                </c:pt>
                <c:pt idx="4">
                  <c:v>9.2561636785004335</c:v>
                </c:pt>
                <c:pt idx="5">
                  <c:v>9.8466654380105343</c:v>
                </c:pt>
                <c:pt idx="6">
                  <c:v>9.2955304624677737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51-4016-A76D-4E9D0C61F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327288"/>
        <c:axId val="745324008"/>
      </c:scatterChart>
      <c:valAx>
        <c:axId val="745327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24008"/>
        <c:crosses val="autoZero"/>
        <c:crossBetween val="midCat"/>
      </c:valAx>
      <c:valAx>
        <c:axId val="745324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layout>
            <c:manualLayout>
              <c:xMode val="edge"/>
              <c:yMode val="edge"/>
              <c:x val="4.1615575163502096E-2"/>
              <c:y val="0.31793286365520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2728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4015338703521028"/>
          <c:y val="0.4479953584749275"/>
          <c:w val="0.17221047077417473"/>
          <c:h val="0.1824726067136344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Acid'!$B$5:$B$18</c:f>
              <c:numCache>
                <c:formatCode>General</c:formatCode>
                <c:ptCount val="14"/>
                <c:pt idx="0">
                  <c:v>0.33333333333333331</c:v>
                </c:pt>
                <c:pt idx="1">
                  <c:v>1.0166666666666666</c:v>
                </c:pt>
                <c:pt idx="2">
                  <c:v>1.5</c:v>
                </c:pt>
                <c:pt idx="3">
                  <c:v>2.0166666666666666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10.833333333333334</c:v>
                </c:pt>
              </c:numCache>
            </c:numRef>
          </c:xVal>
          <c:yVal>
            <c:numRef>
              <c:f>'[3]Organic Acid'!$D$5:$D$18</c:f>
              <c:numCache>
                <c:formatCode>General</c:formatCode>
                <c:ptCount val="14"/>
                <c:pt idx="0">
                  <c:v>3.9191170848733949</c:v>
                </c:pt>
                <c:pt idx="1">
                  <c:v>13.973809608378772</c:v>
                </c:pt>
                <c:pt idx="2">
                  <c:v>16.292367161559039</c:v>
                </c:pt>
                <c:pt idx="3">
                  <c:v>17.324789706042662</c:v>
                </c:pt>
                <c:pt idx="4">
                  <c:v>16.457595116116941</c:v>
                </c:pt>
                <c:pt idx="5">
                  <c:v>15.840853841772143</c:v>
                </c:pt>
                <c:pt idx="6">
                  <c:v>16.491983585439115</c:v>
                </c:pt>
                <c:pt idx="7">
                  <c:v>15.556128438309685</c:v>
                </c:pt>
                <c:pt idx="8">
                  <c:v>15.113764279599073</c:v>
                </c:pt>
                <c:pt idx="9">
                  <c:v>15.30288847888345</c:v>
                </c:pt>
                <c:pt idx="10">
                  <c:v>14.755964460519742</c:v>
                </c:pt>
                <c:pt idx="11">
                  <c:v>15.813889455425128</c:v>
                </c:pt>
                <c:pt idx="12">
                  <c:v>16.771406686772178</c:v>
                </c:pt>
                <c:pt idx="13">
                  <c:v>16.375373968085466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C-43B3-90E4-8EAD3D6FFD21}"/>
            </c:ext>
          </c:extLst>
        </c:ser>
        <c:ser>
          <c:idx val="1"/>
          <c:order val="1"/>
          <c:tx>
            <c:v>Fe(total) (Reactor A)</c:v>
          </c:tx>
          <c:spPr>
            <a:ln w="19050">
              <a:noFill/>
            </a:ln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Acid'!$B$5:$B$18</c:f>
              <c:numCache>
                <c:formatCode>General</c:formatCode>
                <c:ptCount val="14"/>
                <c:pt idx="0">
                  <c:v>0.33333333333333331</c:v>
                </c:pt>
                <c:pt idx="1">
                  <c:v>1.0166666666666666</c:v>
                </c:pt>
                <c:pt idx="2">
                  <c:v>1.5</c:v>
                </c:pt>
                <c:pt idx="3">
                  <c:v>2.0166666666666666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10.833333333333334</c:v>
                </c:pt>
              </c:numCache>
            </c:numRef>
          </c:xVal>
          <c:yVal>
            <c:numRef>
              <c:f>'[3]Organic Acid'!$F$5:$F$18</c:f>
              <c:numCache>
                <c:formatCode>General</c:formatCode>
                <c:ptCount val="14"/>
                <c:pt idx="0">
                  <c:v>10.065491966614729</c:v>
                </c:pt>
                <c:pt idx="1">
                  <c:v>24.292444046405301</c:v>
                </c:pt>
                <c:pt idx="2">
                  <c:v>27.715528812721647</c:v>
                </c:pt>
                <c:pt idx="3">
                  <c:v>29.130146827271297</c:v>
                </c:pt>
                <c:pt idx="4">
                  <c:v>28.376021392922123</c:v>
                </c:pt>
                <c:pt idx="5">
                  <c:v>27.411965439361534</c:v>
                </c:pt>
                <c:pt idx="6">
                  <c:v>27.631117550867746</c:v>
                </c:pt>
                <c:pt idx="7">
                  <c:v>25.649789056425515</c:v>
                </c:pt>
                <c:pt idx="8">
                  <c:v>24.256266868381385</c:v>
                </c:pt>
                <c:pt idx="9">
                  <c:v>23.366603573720123</c:v>
                </c:pt>
                <c:pt idx="10">
                  <c:v>22.007886536263346</c:v>
                </c:pt>
                <c:pt idx="11">
                  <c:v>21.33719829954352</c:v>
                </c:pt>
                <c:pt idx="12">
                  <c:v>21.15087970556862</c:v>
                </c:pt>
                <c:pt idx="13">
                  <c:v>20.810060816573596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5C-43B3-90E4-8EAD3D6FFD21}"/>
            </c:ext>
          </c:extLst>
        </c:ser>
        <c:ser>
          <c:idx val="2"/>
          <c:order val="2"/>
          <c:tx>
            <c:v>Fe(II) (Reactor B)</c:v>
          </c:tx>
          <c:spPr>
            <a:ln w="19050">
              <a:noFill/>
            </a:ln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Acid'!$B$5:$B$18</c:f>
              <c:numCache>
                <c:formatCode>General</c:formatCode>
                <c:ptCount val="14"/>
                <c:pt idx="0">
                  <c:v>0.33333333333333331</c:v>
                </c:pt>
                <c:pt idx="1">
                  <c:v>1.0166666666666666</c:v>
                </c:pt>
                <c:pt idx="2">
                  <c:v>1.5</c:v>
                </c:pt>
                <c:pt idx="3">
                  <c:v>2.0166666666666666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10.833333333333334</c:v>
                </c:pt>
              </c:numCache>
            </c:numRef>
          </c:xVal>
          <c:yVal>
            <c:numRef>
              <c:f>'[3]Organic Acid'!$H$5:$H$18</c:f>
              <c:numCache>
                <c:formatCode>General</c:formatCode>
                <c:ptCount val="14"/>
                <c:pt idx="0">
                  <c:v>2.2781629557807661</c:v>
                </c:pt>
                <c:pt idx="1">
                  <c:v>6.5469514353075962</c:v>
                </c:pt>
                <c:pt idx="2">
                  <c:v>8.7649258346535746</c:v>
                </c:pt>
                <c:pt idx="3">
                  <c:v>10.450201702030919</c:v>
                </c:pt>
                <c:pt idx="4">
                  <c:v>10.736277385197424</c:v>
                </c:pt>
                <c:pt idx="5">
                  <c:v>10.893250709886061</c:v>
                </c:pt>
                <c:pt idx="6">
                  <c:v>11.099591596849406</c:v>
                </c:pt>
                <c:pt idx="7">
                  <c:v>10.61937770926734</c:v>
                </c:pt>
                <c:pt idx="8">
                  <c:v>10.340470106918524</c:v>
                </c:pt>
                <c:pt idx="9">
                  <c:v>10.894919741475663</c:v>
                </c:pt>
                <c:pt idx="10">
                  <c:v>11.429395344857879</c:v>
                </c:pt>
                <c:pt idx="11">
                  <c:v>12.231699044393594</c:v>
                </c:pt>
                <c:pt idx="12">
                  <c:v>13.291683941341947</c:v>
                </c:pt>
                <c:pt idx="13">
                  <c:v>13.35954224608572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5C-43B3-90E4-8EAD3D6FFD21}"/>
            </c:ext>
          </c:extLst>
        </c:ser>
        <c:ser>
          <c:idx val="3"/>
          <c:order val="3"/>
          <c:tx>
            <c:v>Fe(total) (Reactor B)</c:v>
          </c:tx>
          <c:spPr>
            <a:ln w="19050">
              <a:noFill/>
            </a:ln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Acid'!$B$5:$B$18</c:f>
              <c:numCache>
                <c:formatCode>General</c:formatCode>
                <c:ptCount val="14"/>
                <c:pt idx="0">
                  <c:v>0.33333333333333331</c:v>
                </c:pt>
                <c:pt idx="1">
                  <c:v>1.0166666666666666</c:v>
                </c:pt>
                <c:pt idx="2">
                  <c:v>1.5</c:v>
                </c:pt>
                <c:pt idx="3">
                  <c:v>2.0166666666666666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10.833333333333334</c:v>
                </c:pt>
              </c:numCache>
            </c:numRef>
          </c:xVal>
          <c:yVal>
            <c:numRef>
              <c:f>'[3]Organic Acid'!$J$5:$J$18</c:f>
              <c:numCache>
                <c:formatCode>General</c:formatCode>
                <c:ptCount val="14"/>
                <c:pt idx="0">
                  <c:v>7.8228908778903836</c:v>
                </c:pt>
                <c:pt idx="1">
                  <c:v>16.251142255569228</c:v>
                </c:pt>
                <c:pt idx="2">
                  <c:v>19.060726115745233</c:v>
                </c:pt>
                <c:pt idx="3">
                  <c:v>20.927927475180638</c:v>
                </c:pt>
                <c:pt idx="4">
                  <c:v>21.111913483938888</c:v>
                </c:pt>
                <c:pt idx="5">
                  <c:v>21.757648766066172</c:v>
                </c:pt>
                <c:pt idx="6">
                  <c:v>21.959772144008497</c:v>
                </c:pt>
                <c:pt idx="7">
                  <c:v>21.013634002666482</c:v>
                </c:pt>
                <c:pt idx="8">
                  <c:v>20.190008200128766</c:v>
                </c:pt>
                <c:pt idx="9">
                  <c:v>19.730794557690743</c:v>
                </c:pt>
                <c:pt idx="10">
                  <c:v>18.782164347221961</c:v>
                </c:pt>
                <c:pt idx="11">
                  <c:v>18.541664345481529</c:v>
                </c:pt>
                <c:pt idx="12">
                  <c:v>18.389910986333749</c:v>
                </c:pt>
                <c:pt idx="13">
                  <c:v>17.745868044723434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5C-43B3-90E4-8EAD3D6F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7.6271222770885619E-2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(Anoxic)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'[3]Organic Acid'!$M$25:$M$38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'[3]Organic Acid'!$O$25:$O$38</c:f>
              <c:numCache>
                <c:formatCode>General</c:formatCode>
                <c:ptCount val="14"/>
                <c:pt idx="0">
                  <c:v>7.0100563479950457</c:v>
                </c:pt>
                <c:pt idx="1">
                  <c:v>12.536445897799904</c:v>
                </c:pt>
                <c:pt idx="2">
                  <c:v>15.768377473374343</c:v>
                </c:pt>
                <c:pt idx="3">
                  <c:v>17.53717558254143</c:v>
                </c:pt>
                <c:pt idx="4">
                  <c:v>16.535152233813694</c:v>
                </c:pt>
                <c:pt idx="5">
                  <c:v>15.728110813989005</c:v>
                </c:pt>
                <c:pt idx="6">
                  <c:v>12.069141955317034</c:v>
                </c:pt>
                <c:pt idx="7">
                  <c:v>11.190646894326195</c:v>
                </c:pt>
                <c:pt idx="8">
                  <c:v>10.524340124861732</c:v>
                </c:pt>
                <c:pt idx="9">
                  <c:v>10.434563692662334</c:v>
                </c:pt>
                <c:pt idx="12">
                  <c:v>11.742018539921249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DA-47E7-82F7-EA47168E409D}"/>
            </c:ext>
          </c:extLst>
        </c:ser>
        <c:ser>
          <c:idx val="1"/>
          <c:order val="1"/>
          <c:tx>
            <c:v>Fe(total) (Anoxic)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'[3]Organic Acid'!$M$25:$M$38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'[3]Organic Acid'!$Q$25:$Q$38</c:f>
              <c:numCache>
                <c:formatCode>General</c:formatCode>
                <c:ptCount val="14"/>
                <c:pt idx="0">
                  <c:v>12.46285699099189</c:v>
                </c:pt>
                <c:pt idx="1">
                  <c:v>20.68234530624704</c:v>
                </c:pt>
                <c:pt idx="2">
                  <c:v>26.096490090403488</c:v>
                </c:pt>
                <c:pt idx="3">
                  <c:v>26.4114731844113</c:v>
                </c:pt>
                <c:pt idx="4">
                  <c:v>25.43308054355186</c:v>
                </c:pt>
                <c:pt idx="5">
                  <c:v>23.876483322202162</c:v>
                </c:pt>
                <c:pt idx="6">
                  <c:v>21.875453099455914</c:v>
                </c:pt>
                <c:pt idx="7">
                  <c:v>18.500381599334446</c:v>
                </c:pt>
                <c:pt idx="8">
                  <c:v>16.84608576897709</c:v>
                </c:pt>
                <c:pt idx="9">
                  <c:v>16.638299228041834</c:v>
                </c:pt>
                <c:pt idx="12">
                  <c:v>16.134849404463338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A-47E7-82F7-EA47168E409D}"/>
            </c:ext>
          </c:extLst>
        </c:ser>
        <c:ser>
          <c:idx val="2"/>
          <c:order val="2"/>
          <c:tx>
            <c:v>Fe(II) (Oxic)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Acid'!$B$25:$B$38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</c:numCache>
            </c:numRef>
          </c:xVal>
          <c:yVal>
            <c:numRef>
              <c:f>'[3]Organic Acid'!$H$25:$H$38</c:f>
              <c:numCache>
                <c:formatCode>General</c:formatCode>
                <c:ptCount val="14"/>
                <c:pt idx="0">
                  <c:v>0.85043502664438975</c:v>
                </c:pt>
                <c:pt idx="1">
                  <c:v>1.3916418721720407</c:v>
                </c:pt>
                <c:pt idx="2">
                  <c:v>2.436513170944663</c:v>
                </c:pt>
                <c:pt idx="3">
                  <c:v>3.2087531299427399</c:v>
                </c:pt>
                <c:pt idx="4">
                  <c:v>3.6657896754399659</c:v>
                </c:pt>
                <c:pt idx="5">
                  <c:v>3.985774367563478</c:v>
                </c:pt>
                <c:pt idx="6">
                  <c:v>4.472253814216911</c:v>
                </c:pt>
                <c:pt idx="7">
                  <c:v>4.2338176121446969</c:v>
                </c:pt>
                <c:pt idx="8">
                  <c:v>4.1625438726980644</c:v>
                </c:pt>
                <c:pt idx="9">
                  <c:v>3.953016980120386</c:v>
                </c:pt>
                <c:pt idx="10">
                  <c:v>3.9514905225295975</c:v>
                </c:pt>
                <c:pt idx="11">
                  <c:v>3.8588441020881081</c:v>
                </c:pt>
                <c:pt idx="12">
                  <c:v>4.3590307915591513</c:v>
                </c:pt>
                <c:pt idx="13">
                  <c:v>4.6220280495973824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DA-47E7-82F7-EA47168E409D}"/>
            </c:ext>
          </c:extLst>
        </c:ser>
        <c:ser>
          <c:idx val="3"/>
          <c:order val="3"/>
          <c:tx>
            <c:v>Fe(total) (Oxic)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Acid'!$B$25:$B$38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</c:numCache>
            </c:numRef>
          </c:xVal>
          <c:yVal>
            <c:numRef>
              <c:f>'[3]Organic Acid'!$J$25:$J$38</c:f>
              <c:numCache>
                <c:formatCode>General</c:formatCode>
                <c:ptCount val="14"/>
                <c:pt idx="0">
                  <c:v>8.2459714479491968</c:v>
                </c:pt>
                <c:pt idx="1">
                  <c:v>12.759697037843868</c:v>
                </c:pt>
                <c:pt idx="2">
                  <c:v>16.081023813316346</c:v>
                </c:pt>
                <c:pt idx="3">
                  <c:v>17.717079420353603</c:v>
                </c:pt>
                <c:pt idx="4">
                  <c:v>19.21922691840324</c:v>
                </c:pt>
                <c:pt idx="5">
                  <c:v>19.526883359208519</c:v>
                </c:pt>
                <c:pt idx="6">
                  <c:v>19.935241600875763</c:v>
                </c:pt>
                <c:pt idx="7">
                  <c:v>18.724724639255534</c:v>
                </c:pt>
                <c:pt idx="8">
                  <c:v>18.765845803309869</c:v>
                </c:pt>
                <c:pt idx="9">
                  <c:v>17.614808709574159</c:v>
                </c:pt>
                <c:pt idx="10">
                  <c:v>17.108588189267124</c:v>
                </c:pt>
                <c:pt idx="11">
                  <c:v>16.01739417105075</c:v>
                </c:pt>
                <c:pt idx="12">
                  <c:v>15.668194717455451</c:v>
                </c:pt>
                <c:pt idx="13">
                  <c:v>15.001694818542537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DA-47E7-82F7-EA47168E4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4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7.6271222770885619E-2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Acid'!$B$66:$B$80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3.0166666666666666</c:v>
                </c:pt>
                <c:pt idx="6">
                  <c:v>4.0166666666666666</c:v>
                </c:pt>
                <c:pt idx="7">
                  <c:v>5</c:v>
                </c:pt>
                <c:pt idx="8">
                  <c:v>6.0166666666666666</c:v>
                </c:pt>
                <c:pt idx="9">
                  <c:v>7.0333333333333332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11.016666666666667</c:v>
                </c:pt>
                <c:pt idx="14">
                  <c:v>11.966666666666667</c:v>
                </c:pt>
              </c:numCache>
            </c:numRef>
          </c:xVal>
          <c:yVal>
            <c:numRef>
              <c:f>'[3]Organic Acid'!$D$66:$D$80</c:f>
              <c:numCache>
                <c:formatCode>General</c:formatCode>
                <c:ptCount val="15"/>
                <c:pt idx="0">
                  <c:v>1.3124369386978991</c:v>
                </c:pt>
                <c:pt idx="1">
                  <c:v>1.9473179287083804</c:v>
                </c:pt>
                <c:pt idx="2">
                  <c:v>2.3894900514306228</c:v>
                </c:pt>
                <c:pt idx="3">
                  <c:v>2.9638862833809596</c:v>
                </c:pt>
                <c:pt idx="4">
                  <c:v>3.1663522868477245</c:v>
                </c:pt>
                <c:pt idx="5">
                  <c:v>3.559191092063978</c:v>
                </c:pt>
                <c:pt idx="6">
                  <c:v>3.7907193347867008</c:v>
                </c:pt>
                <c:pt idx="7">
                  <c:v>4.0076974021794376</c:v>
                </c:pt>
                <c:pt idx="8">
                  <c:v>3.9534676476833615</c:v>
                </c:pt>
                <c:pt idx="9">
                  <c:v>4.1194649402895864</c:v>
                </c:pt>
                <c:pt idx="10">
                  <c:v>4.0924133765803168</c:v>
                </c:pt>
                <c:pt idx="11">
                  <c:v>4.272887970386078</c:v>
                </c:pt>
                <c:pt idx="12">
                  <c:v>4.2528264767441506</c:v>
                </c:pt>
                <c:pt idx="13">
                  <c:v>4.3801636324289852</c:v>
                </c:pt>
                <c:pt idx="14">
                  <c:v>4.3371182493111355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0C-4D36-86F2-04273538035B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Acid'!$B$66:$B$80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3.0166666666666666</c:v>
                </c:pt>
                <c:pt idx="6">
                  <c:v>4.0166666666666666</c:v>
                </c:pt>
                <c:pt idx="7">
                  <c:v>5</c:v>
                </c:pt>
                <c:pt idx="8">
                  <c:v>6.0166666666666666</c:v>
                </c:pt>
                <c:pt idx="9">
                  <c:v>7.0333333333333332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11.016666666666667</c:v>
                </c:pt>
                <c:pt idx="14">
                  <c:v>11.966666666666667</c:v>
                </c:pt>
              </c:numCache>
            </c:numRef>
          </c:xVal>
          <c:yVal>
            <c:numRef>
              <c:f>'[3]Organic Acid'!$F$66:$F$80</c:f>
              <c:numCache>
                <c:formatCode>General</c:formatCode>
                <c:ptCount val="15"/>
                <c:pt idx="0">
                  <c:v>1.9036166670655785</c:v>
                </c:pt>
                <c:pt idx="1">
                  <c:v>2.669676519564248</c:v>
                </c:pt>
                <c:pt idx="2">
                  <c:v>3.4215346581795107</c:v>
                </c:pt>
                <c:pt idx="3">
                  <c:v>3.9705545325049747</c:v>
                </c:pt>
                <c:pt idx="4">
                  <c:v>4.4286236530486551</c:v>
                </c:pt>
                <c:pt idx="5">
                  <c:v>4.7428177852605797</c:v>
                </c:pt>
                <c:pt idx="6">
                  <c:v>5.1931340251173426</c:v>
                </c:pt>
                <c:pt idx="7">
                  <c:v>5.274478575217139</c:v>
                </c:pt>
                <c:pt idx="8">
                  <c:v>5.3984142944685569</c:v>
                </c:pt>
                <c:pt idx="9">
                  <c:v>5.3768697765545959</c:v>
                </c:pt>
                <c:pt idx="10">
                  <c:v>5.399374512627177</c:v>
                </c:pt>
                <c:pt idx="11">
                  <c:v>5.3064296604264269</c:v>
                </c:pt>
                <c:pt idx="12">
                  <c:v>5.3379548818927862</c:v>
                </c:pt>
                <c:pt idx="13">
                  <c:v>5.2660316409483832</c:v>
                </c:pt>
                <c:pt idx="14">
                  <c:v>5.2499063689759833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0C-4D36-86F2-04273538035B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Acid'!$B$66:$B$80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3.0166666666666666</c:v>
                </c:pt>
                <c:pt idx="6">
                  <c:v>4.0166666666666666</c:v>
                </c:pt>
                <c:pt idx="7">
                  <c:v>5</c:v>
                </c:pt>
                <c:pt idx="8">
                  <c:v>6.0166666666666666</c:v>
                </c:pt>
                <c:pt idx="9">
                  <c:v>7.0333333333333332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11.016666666666667</c:v>
                </c:pt>
                <c:pt idx="14">
                  <c:v>11.966666666666667</c:v>
                </c:pt>
              </c:numCache>
            </c:numRef>
          </c:xVal>
          <c:yVal>
            <c:numRef>
              <c:f>'[3]Organic Acid'!$H$66:$H$80</c:f>
              <c:numCache>
                <c:formatCode>General</c:formatCode>
                <c:ptCount val="15"/>
                <c:pt idx="0">
                  <c:v>0.87952085902546406</c:v>
                </c:pt>
                <c:pt idx="1">
                  <c:v>1.1323604190818297</c:v>
                </c:pt>
                <c:pt idx="2">
                  <c:v>1.3907787293870577</c:v>
                </c:pt>
                <c:pt idx="3">
                  <c:v>1.7795734546246509</c:v>
                </c:pt>
                <c:pt idx="4">
                  <c:v>1.7855757550623155</c:v>
                </c:pt>
                <c:pt idx="5">
                  <c:v>1.922587522293872</c:v>
                </c:pt>
                <c:pt idx="6">
                  <c:v>1.9571005774122818</c:v>
                </c:pt>
                <c:pt idx="7">
                  <c:v>2.0885820543853493</c:v>
                </c:pt>
                <c:pt idx="8">
                  <c:v>2.09602180785217</c:v>
                </c:pt>
                <c:pt idx="9">
                  <c:v>2.2416743657753986</c:v>
                </c:pt>
                <c:pt idx="10">
                  <c:v>2.6424707782136858</c:v>
                </c:pt>
                <c:pt idx="11">
                  <c:v>2.8370977885564237</c:v>
                </c:pt>
                <c:pt idx="12">
                  <c:v>2.820722487753295</c:v>
                </c:pt>
                <c:pt idx="13">
                  <c:v>2.8555462677257473</c:v>
                </c:pt>
                <c:pt idx="14">
                  <c:v>2.806372196656203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0C-4D36-86F2-04273538035B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Acid'!$B$66:$B$80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3.0166666666666666</c:v>
                </c:pt>
                <c:pt idx="6">
                  <c:v>4.0166666666666666</c:v>
                </c:pt>
                <c:pt idx="7">
                  <c:v>5</c:v>
                </c:pt>
                <c:pt idx="8">
                  <c:v>6.0166666666666666</c:v>
                </c:pt>
                <c:pt idx="9">
                  <c:v>7.0333333333333332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11.016666666666667</c:v>
                </c:pt>
                <c:pt idx="14">
                  <c:v>11.966666666666667</c:v>
                </c:pt>
              </c:numCache>
            </c:numRef>
          </c:xVal>
          <c:yVal>
            <c:numRef>
              <c:f>'[3]Organic Acid'!$J$66:$J$80</c:f>
              <c:numCache>
                <c:formatCode>General</c:formatCode>
                <c:ptCount val="15"/>
                <c:pt idx="0">
                  <c:v>1.526277896961181</c:v>
                </c:pt>
                <c:pt idx="1">
                  <c:v>2.0140035677586803</c:v>
                </c:pt>
                <c:pt idx="2">
                  <c:v>2.5762586105494854</c:v>
                </c:pt>
                <c:pt idx="3">
                  <c:v>2.9444101749237857</c:v>
                </c:pt>
                <c:pt idx="4">
                  <c:v>3.1485219365403672</c:v>
                </c:pt>
                <c:pt idx="5">
                  <c:v>3.2273717153718287</c:v>
                </c:pt>
                <c:pt idx="6">
                  <c:v>3.394421712989812</c:v>
                </c:pt>
                <c:pt idx="7">
                  <c:v>3.3868713888775814</c:v>
                </c:pt>
                <c:pt idx="8">
                  <c:v>3.4591209574030923</c:v>
                </c:pt>
                <c:pt idx="9">
                  <c:v>3.4353556574222002</c:v>
                </c:pt>
                <c:pt idx="10">
                  <c:v>3.7533227313994697</c:v>
                </c:pt>
                <c:pt idx="11">
                  <c:v>3.7596865685757388</c:v>
                </c:pt>
                <c:pt idx="12">
                  <c:v>3.7139171841412129</c:v>
                </c:pt>
                <c:pt idx="13">
                  <c:v>3.6121498384228277</c:v>
                </c:pt>
                <c:pt idx="14">
                  <c:v>3.5650736509465379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0C-4D36-86F2-042735380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7.6271222770885619E-2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Acid'!$B$66:$B$80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3.0166666666666666</c:v>
                </c:pt>
                <c:pt idx="6">
                  <c:v>4.0166666666666666</c:v>
                </c:pt>
                <c:pt idx="7">
                  <c:v>5</c:v>
                </c:pt>
                <c:pt idx="8">
                  <c:v>6.0166666666666666</c:v>
                </c:pt>
                <c:pt idx="9">
                  <c:v>7.0333333333333332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11.016666666666667</c:v>
                </c:pt>
                <c:pt idx="14">
                  <c:v>11.966666666666667</c:v>
                </c:pt>
              </c:numCache>
            </c:numRef>
          </c:xVal>
          <c:yVal>
            <c:numRef>
              <c:f>'[3]Organic Acid'!$D$66:$D$80</c:f>
              <c:numCache>
                <c:formatCode>General</c:formatCode>
                <c:ptCount val="15"/>
                <c:pt idx="0">
                  <c:v>1.3124369386978991</c:v>
                </c:pt>
                <c:pt idx="1">
                  <c:v>1.9473179287083804</c:v>
                </c:pt>
                <c:pt idx="2">
                  <c:v>2.3894900514306228</c:v>
                </c:pt>
                <c:pt idx="3">
                  <c:v>2.9638862833809596</c:v>
                </c:pt>
                <c:pt idx="4">
                  <c:v>3.1663522868477245</c:v>
                </c:pt>
                <c:pt idx="5">
                  <c:v>3.559191092063978</c:v>
                </c:pt>
                <c:pt idx="6">
                  <c:v>3.7907193347867008</c:v>
                </c:pt>
                <c:pt idx="7">
                  <c:v>4.0076974021794376</c:v>
                </c:pt>
                <c:pt idx="8">
                  <c:v>3.9534676476833615</c:v>
                </c:pt>
                <c:pt idx="9">
                  <c:v>4.1194649402895864</c:v>
                </c:pt>
                <c:pt idx="10">
                  <c:v>4.0924133765803168</c:v>
                </c:pt>
                <c:pt idx="11">
                  <c:v>4.272887970386078</c:v>
                </c:pt>
                <c:pt idx="12">
                  <c:v>4.2528264767441506</c:v>
                </c:pt>
                <c:pt idx="13">
                  <c:v>4.3801636324289852</c:v>
                </c:pt>
                <c:pt idx="14">
                  <c:v>4.3371182493111355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8A-4C56-9E95-40C5523D5B01}"/>
            </c:ext>
          </c:extLst>
        </c:ser>
        <c:ser>
          <c:idx val="1"/>
          <c:order val="1"/>
          <c:tx>
            <c:v>Fe(total)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Acid'!$B$66:$B$80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3.0166666666666666</c:v>
                </c:pt>
                <c:pt idx="6">
                  <c:v>4.0166666666666666</c:v>
                </c:pt>
                <c:pt idx="7">
                  <c:v>5</c:v>
                </c:pt>
                <c:pt idx="8">
                  <c:v>6.0166666666666666</c:v>
                </c:pt>
                <c:pt idx="9">
                  <c:v>7.0333333333333332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11.016666666666667</c:v>
                </c:pt>
                <c:pt idx="14">
                  <c:v>11.966666666666667</c:v>
                </c:pt>
              </c:numCache>
            </c:numRef>
          </c:xVal>
          <c:yVal>
            <c:numRef>
              <c:f>'[3]Organic Acid'!$F$66:$F$80</c:f>
              <c:numCache>
                <c:formatCode>General</c:formatCode>
                <c:ptCount val="15"/>
                <c:pt idx="0">
                  <c:v>1.9036166670655785</c:v>
                </c:pt>
                <c:pt idx="1">
                  <c:v>2.669676519564248</c:v>
                </c:pt>
                <c:pt idx="2">
                  <c:v>3.4215346581795107</c:v>
                </c:pt>
                <c:pt idx="3">
                  <c:v>3.9705545325049747</c:v>
                </c:pt>
                <c:pt idx="4">
                  <c:v>4.4286236530486551</c:v>
                </c:pt>
                <c:pt idx="5">
                  <c:v>4.7428177852605797</c:v>
                </c:pt>
                <c:pt idx="6">
                  <c:v>5.1931340251173426</c:v>
                </c:pt>
                <c:pt idx="7">
                  <c:v>5.274478575217139</c:v>
                </c:pt>
                <c:pt idx="8">
                  <c:v>5.3984142944685569</c:v>
                </c:pt>
                <c:pt idx="9">
                  <c:v>5.3768697765545959</c:v>
                </c:pt>
                <c:pt idx="10">
                  <c:v>5.399374512627177</c:v>
                </c:pt>
                <c:pt idx="11">
                  <c:v>5.3064296604264269</c:v>
                </c:pt>
                <c:pt idx="12">
                  <c:v>5.3379548818927862</c:v>
                </c:pt>
                <c:pt idx="13">
                  <c:v>5.2660316409483832</c:v>
                </c:pt>
                <c:pt idx="14">
                  <c:v>5.2499063689759833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8A-4C56-9E95-40C5523D5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1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Acid'!$B$87:$B$101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11.85</c:v>
                </c:pt>
              </c:numCache>
            </c:numRef>
          </c:xVal>
          <c:yVal>
            <c:numRef>
              <c:f>'[3]Organic Acid'!$D$87:$D$101</c:f>
              <c:numCache>
                <c:formatCode>General</c:formatCode>
                <c:ptCount val="15"/>
                <c:pt idx="0">
                  <c:v>1.8124888708191031</c:v>
                </c:pt>
                <c:pt idx="1">
                  <c:v>4.4908324164642091</c:v>
                </c:pt>
                <c:pt idx="2">
                  <c:v>6.6875282680162709</c:v>
                </c:pt>
                <c:pt idx="3">
                  <c:v>8.1432069728513294</c:v>
                </c:pt>
                <c:pt idx="4">
                  <c:v>9.3580828628419628</c:v>
                </c:pt>
                <c:pt idx="5">
                  <c:v>10.265518526525867</c:v>
                </c:pt>
                <c:pt idx="6">
                  <c:v>12.03653657620201</c:v>
                </c:pt>
                <c:pt idx="7">
                  <c:v>14.270367423945178</c:v>
                </c:pt>
                <c:pt idx="8">
                  <c:v>14.41769854408799</c:v>
                </c:pt>
                <c:pt idx="9">
                  <c:v>14.520725949109835</c:v>
                </c:pt>
                <c:pt idx="10">
                  <c:v>15.43934681552982</c:v>
                </c:pt>
                <c:pt idx="11">
                  <c:v>15.977769305800324</c:v>
                </c:pt>
                <c:pt idx="12">
                  <c:v>16.488980035233894</c:v>
                </c:pt>
                <c:pt idx="13">
                  <c:v>16.975392388663575</c:v>
                </c:pt>
                <c:pt idx="14">
                  <c:v>18.095057623605864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C1-431A-B6BD-7235299CE343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Acid'!$B$87:$B$101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11.85</c:v>
                </c:pt>
              </c:numCache>
            </c:numRef>
          </c:xVal>
          <c:yVal>
            <c:numRef>
              <c:f>'[3]Organic Acid'!$F$87:$F$101</c:f>
              <c:numCache>
                <c:formatCode>General</c:formatCode>
                <c:ptCount val="15"/>
                <c:pt idx="0">
                  <c:v>2.0468030214192914</c:v>
                </c:pt>
                <c:pt idx="1">
                  <c:v>4.7409775333201853</c:v>
                </c:pt>
                <c:pt idx="2">
                  <c:v>6.94997287438387</c:v>
                </c:pt>
                <c:pt idx="3">
                  <c:v>8.3891818406051062</c:v>
                </c:pt>
                <c:pt idx="4">
                  <c:v>9.6347171235127789</c:v>
                </c:pt>
                <c:pt idx="5">
                  <c:v>10.504795180727543</c:v>
                </c:pt>
                <c:pt idx="6">
                  <c:v>12.255882772592097</c:v>
                </c:pt>
                <c:pt idx="7">
                  <c:v>14.46695915104508</c:v>
                </c:pt>
                <c:pt idx="8">
                  <c:v>14.59164598002763</c:v>
                </c:pt>
                <c:pt idx="9">
                  <c:v>15.506747987536492</c:v>
                </c:pt>
                <c:pt idx="10">
                  <c:v>16.434077246159347</c:v>
                </c:pt>
                <c:pt idx="11">
                  <c:v>16.898055803052188</c:v>
                </c:pt>
                <c:pt idx="12">
                  <c:v>17.440782389522933</c:v>
                </c:pt>
                <c:pt idx="13">
                  <c:v>17.865983451380618</c:v>
                </c:pt>
                <c:pt idx="14">
                  <c:v>18.685849038885696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C1-431A-B6BD-7235299CE343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Acid'!$B$87:$B$101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11.85</c:v>
                </c:pt>
              </c:numCache>
            </c:numRef>
          </c:xVal>
          <c:yVal>
            <c:numRef>
              <c:f>'[3]Organic Acid'!$H$87:$H$101</c:f>
              <c:numCache>
                <c:formatCode>General</c:formatCode>
                <c:ptCount val="15"/>
                <c:pt idx="0">
                  <c:v>2.0563547141215115</c:v>
                </c:pt>
                <c:pt idx="1">
                  <c:v>4.6477484657855896</c:v>
                </c:pt>
                <c:pt idx="2">
                  <c:v>6.9535299245458226</c:v>
                </c:pt>
                <c:pt idx="3">
                  <c:v>8.514369342073504</c:v>
                </c:pt>
                <c:pt idx="4">
                  <c:v>9.9144426305770867</c:v>
                </c:pt>
                <c:pt idx="5">
                  <c:v>11.002887515604456</c:v>
                </c:pt>
                <c:pt idx="6">
                  <c:v>12.747730339710733</c:v>
                </c:pt>
                <c:pt idx="7">
                  <c:v>13.117636335755842</c:v>
                </c:pt>
                <c:pt idx="8">
                  <c:v>15.828101166395266</c:v>
                </c:pt>
                <c:pt idx="9">
                  <c:v>15.829009936700389</c:v>
                </c:pt>
                <c:pt idx="10">
                  <c:v>17.042537130913949</c:v>
                </c:pt>
                <c:pt idx="11">
                  <c:v>17.751204469872423</c:v>
                </c:pt>
                <c:pt idx="12">
                  <c:v>18.564874731614392</c:v>
                </c:pt>
                <c:pt idx="13">
                  <c:v>22.298661222387025</c:v>
                </c:pt>
                <c:pt idx="14">
                  <c:v>20.562781959094178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C1-431A-B6BD-7235299CE343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Acid'!$B$87:$B$101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11.85</c:v>
                </c:pt>
              </c:numCache>
            </c:numRef>
          </c:xVal>
          <c:yVal>
            <c:numRef>
              <c:f>'[3]Organic Acid'!$J$87:$J$101</c:f>
              <c:numCache>
                <c:formatCode>General</c:formatCode>
                <c:ptCount val="15"/>
                <c:pt idx="0">
                  <c:v>2.2859174157654309</c:v>
                </c:pt>
                <c:pt idx="1">
                  <c:v>4.8879707242280936</c:v>
                </c:pt>
                <c:pt idx="2">
                  <c:v>7.1911283201504874</c:v>
                </c:pt>
                <c:pt idx="3">
                  <c:v>8.731313440774942</c:v>
                </c:pt>
                <c:pt idx="4">
                  <c:v>10.181546874866473</c:v>
                </c:pt>
                <c:pt idx="5">
                  <c:v>11.220542139158068</c:v>
                </c:pt>
                <c:pt idx="6">
                  <c:v>12.946634988291175</c:v>
                </c:pt>
                <c:pt idx="7">
                  <c:v>13.396486555783952</c:v>
                </c:pt>
                <c:pt idx="8">
                  <c:v>15.997256446036133</c:v>
                </c:pt>
                <c:pt idx="9">
                  <c:v>16.80974507373093</c:v>
                </c:pt>
                <c:pt idx="10">
                  <c:v>17.98591428691261</c:v>
                </c:pt>
                <c:pt idx="11">
                  <c:v>18.665712470408877</c:v>
                </c:pt>
                <c:pt idx="12">
                  <c:v>19.539405230612257</c:v>
                </c:pt>
                <c:pt idx="13">
                  <c:v>23.271743974630041</c:v>
                </c:pt>
                <c:pt idx="14">
                  <c:v>21.050439585833473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C1-431A-B6BD-7235299CE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057937202294153"/>
          <c:y val="0.37045223581762793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Acid'!$B$45:$B$59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11.666666666666666</c:v>
                </c:pt>
              </c:numCache>
            </c:numRef>
          </c:xVal>
          <c:yVal>
            <c:numRef>
              <c:f>'[3]Organic Acid'!$D$45:$D$59</c:f>
              <c:numCache>
                <c:formatCode>General</c:formatCode>
                <c:ptCount val="15"/>
                <c:pt idx="0">
                  <c:v>0.64054120247951807</c:v>
                </c:pt>
                <c:pt idx="1">
                  <c:v>1.961067257060455</c:v>
                </c:pt>
                <c:pt idx="2">
                  <c:v>3.1006588524994125</c:v>
                </c:pt>
                <c:pt idx="3">
                  <c:v>3.6886427758617955</c:v>
                </c:pt>
                <c:pt idx="4">
                  <c:v>4.2578374576375051</c:v>
                </c:pt>
                <c:pt idx="5">
                  <c:v>4.6495236688589143</c:v>
                </c:pt>
                <c:pt idx="6">
                  <c:v>5.2774736593235971</c:v>
                </c:pt>
                <c:pt idx="7">
                  <c:v>5.4965465448957129</c:v>
                </c:pt>
                <c:pt idx="8">
                  <c:v>5.6969014262299789</c:v>
                </c:pt>
                <c:pt idx="9">
                  <c:v>5.7964247964895375</c:v>
                </c:pt>
                <c:pt idx="10">
                  <c:v>6.0097833307104764</c:v>
                </c:pt>
                <c:pt idx="11">
                  <c:v>6.2452913411153377</c:v>
                </c:pt>
                <c:pt idx="12">
                  <c:v>6.5717886808751276</c:v>
                </c:pt>
                <c:pt idx="13">
                  <c:v>7.0146859234607462</c:v>
                </c:pt>
                <c:pt idx="14">
                  <c:v>7.61136724445368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BE-4026-8809-00DF23B1872B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Acid'!$B$45:$B$59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11.666666666666666</c:v>
                </c:pt>
              </c:numCache>
            </c:numRef>
          </c:xVal>
          <c:yVal>
            <c:numRef>
              <c:f>'[3]Organic Acid'!$F$45:$F$59</c:f>
              <c:numCache>
                <c:formatCode>General</c:formatCode>
                <c:ptCount val="15"/>
                <c:pt idx="0">
                  <c:v>1.1413531145693356</c:v>
                </c:pt>
                <c:pt idx="1">
                  <c:v>3.1459647365896153</c:v>
                </c:pt>
                <c:pt idx="2">
                  <c:v>4.6768788837299091</c:v>
                </c:pt>
                <c:pt idx="3">
                  <c:v>5.4835657823590687</c:v>
                </c:pt>
                <c:pt idx="4">
                  <c:v>6.2112464957324791</c:v>
                </c:pt>
                <c:pt idx="5">
                  <c:v>6.5510693435322169</c:v>
                </c:pt>
                <c:pt idx="6">
                  <c:v>7.1562128087723913</c:v>
                </c:pt>
                <c:pt idx="7">
                  <c:v>7.1763699941324823</c:v>
                </c:pt>
                <c:pt idx="8">
                  <c:v>7.363177904834564</c:v>
                </c:pt>
                <c:pt idx="9">
                  <c:v>7.3856890310905445</c:v>
                </c:pt>
                <c:pt idx="10">
                  <c:v>7.6008924421477158</c:v>
                </c:pt>
                <c:pt idx="11">
                  <c:v>7.6645187773634849</c:v>
                </c:pt>
                <c:pt idx="12">
                  <c:v>7.9879455171661444</c:v>
                </c:pt>
                <c:pt idx="13">
                  <c:v>8.262335644275753</c:v>
                </c:pt>
                <c:pt idx="14">
                  <c:v>8.5576975693059509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BE-4026-8809-00DF23B1872B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Acid'!$B$45:$B$59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11.666666666666666</c:v>
                </c:pt>
              </c:numCache>
            </c:numRef>
          </c:xVal>
          <c:yVal>
            <c:numRef>
              <c:f>'[3]Organic Acid'!$H$45:$H$59</c:f>
              <c:numCache>
                <c:formatCode>General</c:formatCode>
                <c:ptCount val="15"/>
                <c:pt idx="0">
                  <c:v>0.97955881782974541</c:v>
                </c:pt>
                <c:pt idx="1">
                  <c:v>2.2930455233051776</c:v>
                </c:pt>
                <c:pt idx="2">
                  <c:v>3.3645384354132268</c:v>
                </c:pt>
                <c:pt idx="3">
                  <c:v>3.7160768868783136</c:v>
                </c:pt>
                <c:pt idx="4">
                  <c:v>4.2670289219233286</c:v>
                </c:pt>
                <c:pt idx="5">
                  <c:v>4.6667570944387187</c:v>
                </c:pt>
                <c:pt idx="6">
                  <c:v>5.2068155570714794</c:v>
                </c:pt>
                <c:pt idx="7">
                  <c:v>5.4226225910561379</c:v>
                </c:pt>
                <c:pt idx="8">
                  <c:v>5.7811848602844638</c:v>
                </c:pt>
                <c:pt idx="9">
                  <c:v>6.0208107198464988</c:v>
                </c:pt>
                <c:pt idx="10">
                  <c:v>6.3531099139719975</c:v>
                </c:pt>
                <c:pt idx="11">
                  <c:v>6.4942679260806715</c:v>
                </c:pt>
                <c:pt idx="12">
                  <c:v>6.6337673979341965</c:v>
                </c:pt>
                <c:pt idx="13">
                  <c:v>6.9308201930906357</c:v>
                </c:pt>
                <c:pt idx="14">
                  <c:v>7.369563675218191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BE-4026-8809-00DF23B1872B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Acid'!$B$45:$B$59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11.666666666666666</c:v>
                </c:pt>
              </c:numCache>
            </c:numRef>
          </c:xVal>
          <c:yVal>
            <c:numRef>
              <c:f>'[3]Organic Acid'!$J$45:$J$59</c:f>
              <c:numCache>
                <c:formatCode>General</c:formatCode>
                <c:ptCount val="15"/>
                <c:pt idx="0">
                  <c:v>1.6660697048024748</c:v>
                </c:pt>
                <c:pt idx="1">
                  <c:v>3.6050245637351757</c:v>
                </c:pt>
                <c:pt idx="2">
                  <c:v>5.2861450721037624</c:v>
                </c:pt>
                <c:pt idx="3">
                  <c:v>5.7651865432336704</c:v>
                </c:pt>
                <c:pt idx="4">
                  <c:v>6.3930093029265409</c:v>
                </c:pt>
                <c:pt idx="5">
                  <c:v>6.6744599623335779</c:v>
                </c:pt>
                <c:pt idx="6">
                  <c:v>7.1165794285477233</c:v>
                </c:pt>
                <c:pt idx="7">
                  <c:v>7.2347343002686006</c:v>
                </c:pt>
                <c:pt idx="8">
                  <c:v>7.4837166518579537</c:v>
                </c:pt>
                <c:pt idx="9">
                  <c:v>7.6269563877136974</c:v>
                </c:pt>
                <c:pt idx="10">
                  <c:v>7.9339984568839945</c:v>
                </c:pt>
                <c:pt idx="11">
                  <c:v>7.9459116505923042</c:v>
                </c:pt>
                <c:pt idx="12">
                  <c:v>8.1085470921856846</c:v>
                </c:pt>
                <c:pt idx="13">
                  <c:v>8.2566983180022682</c:v>
                </c:pt>
                <c:pt idx="14">
                  <c:v>8.1949052450469413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BE-4026-8809-00DF23B18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317196461553412"/>
          <c:y val="0.38176689195008245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Acid'!$D$108:$D$122</c:f>
              <c:numCache>
                <c:formatCode>General</c:formatCode>
                <c:ptCount val="15"/>
                <c:pt idx="0">
                  <c:v>0.1919756490295729</c:v>
                </c:pt>
                <c:pt idx="1">
                  <c:v>0.55546995494571449</c:v>
                </c:pt>
                <c:pt idx="2">
                  <c:v>1.0409768402430384</c:v>
                </c:pt>
                <c:pt idx="3">
                  <c:v>1.3972102679260057</c:v>
                </c:pt>
                <c:pt idx="4">
                  <c:v>1.7514877836108254</c:v>
                </c:pt>
                <c:pt idx="5">
                  <c:v>2.0767198851542794</c:v>
                </c:pt>
                <c:pt idx="6">
                  <c:v>2.5914807740374957</c:v>
                </c:pt>
                <c:pt idx="7">
                  <c:v>2.9219647375660158</c:v>
                </c:pt>
                <c:pt idx="8">
                  <c:v>3.270858156043051</c:v>
                </c:pt>
                <c:pt idx="9">
                  <c:v>3.4587270851412546</c:v>
                </c:pt>
                <c:pt idx="10">
                  <c:v>3.4600265941248631</c:v>
                </c:pt>
                <c:pt idx="11">
                  <c:v>3.4398140917917384</c:v>
                </c:pt>
                <c:pt idx="12">
                  <c:v>3.5158865101100414</c:v>
                </c:pt>
                <c:pt idx="13">
                  <c:v>3.8004033419191408</c:v>
                </c:pt>
                <c:pt idx="14">
                  <c:v>3.8964924494131101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F-4AF1-B55A-D7633DAB9F8C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Acid'!$F$108:$F$122</c:f>
              <c:numCache>
                <c:formatCode>General</c:formatCode>
                <c:ptCount val="15"/>
                <c:pt idx="0">
                  <c:v>0.35530718394531086</c:v>
                </c:pt>
                <c:pt idx="1">
                  <c:v>0.76020904832617919</c:v>
                </c:pt>
                <c:pt idx="2">
                  <c:v>1.2695049650523316</c:v>
                </c:pt>
                <c:pt idx="3">
                  <c:v>1.6129755258644209</c:v>
                </c:pt>
                <c:pt idx="4">
                  <c:v>1.9715773325199084</c:v>
                </c:pt>
                <c:pt idx="5">
                  <c:v>2.2639891444190341</c:v>
                </c:pt>
                <c:pt idx="6">
                  <c:v>2.817386228961765</c:v>
                </c:pt>
                <c:pt idx="7">
                  <c:v>3.1290637895300613</c:v>
                </c:pt>
                <c:pt idx="8">
                  <c:v>3.4492730174008632</c:v>
                </c:pt>
                <c:pt idx="9">
                  <c:v>3.6267468359223507</c:v>
                </c:pt>
                <c:pt idx="10">
                  <c:v>3.631085426623649</c:v>
                </c:pt>
                <c:pt idx="11">
                  <c:v>3.6117722478428651</c:v>
                </c:pt>
                <c:pt idx="12">
                  <c:v>3.6981841666106536</c:v>
                </c:pt>
                <c:pt idx="13">
                  <c:v>3.9509100284679279</c:v>
                </c:pt>
                <c:pt idx="14">
                  <c:v>3.9863644431778016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6F-4AF1-B55A-D7633DAB9F8C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Acid'!$H$108:$H$122</c:f>
              <c:numCache>
                <c:formatCode>General</c:formatCode>
                <c:ptCount val="15"/>
                <c:pt idx="0">
                  <c:v>0.1955329018646122</c:v>
                </c:pt>
                <c:pt idx="1">
                  <c:v>0.65188322122062159</c:v>
                </c:pt>
                <c:pt idx="2">
                  <c:v>1.0381707287673276</c:v>
                </c:pt>
                <c:pt idx="3">
                  <c:v>1.3828320296054335</c:v>
                </c:pt>
                <c:pt idx="4">
                  <c:v>1.7356193634871682</c:v>
                </c:pt>
                <c:pt idx="5">
                  <c:v>2.0658990503243033</c:v>
                </c:pt>
                <c:pt idx="6">
                  <c:v>2.6220416603221546</c:v>
                </c:pt>
                <c:pt idx="7">
                  <c:v>3.0712671508243554</c:v>
                </c:pt>
                <c:pt idx="8">
                  <c:v>3.3624094877637209</c:v>
                </c:pt>
                <c:pt idx="9">
                  <c:v>3.5553079981525189</c:v>
                </c:pt>
                <c:pt idx="10">
                  <c:v>3.6503690434902012</c:v>
                </c:pt>
                <c:pt idx="11">
                  <c:v>3.7663448093392877</c:v>
                </c:pt>
                <c:pt idx="12">
                  <c:v>3.9095416325904724</c:v>
                </c:pt>
                <c:pt idx="13">
                  <c:v>4.0017607009893146</c:v>
                </c:pt>
                <c:pt idx="14">
                  <c:v>4.0706271910573522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6F-4AF1-B55A-D7633DAB9F8C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Acid'!$J$108:$J$122</c:f>
              <c:numCache>
                <c:formatCode>General</c:formatCode>
                <c:ptCount val="15"/>
                <c:pt idx="0">
                  <c:v>0.45783711695794949</c:v>
                </c:pt>
                <c:pt idx="1">
                  <c:v>0.87751639007124249</c:v>
                </c:pt>
                <c:pt idx="2">
                  <c:v>1.2697334123651218</c:v>
                </c:pt>
                <c:pt idx="3">
                  <c:v>1.6088733797710317</c:v>
                </c:pt>
                <c:pt idx="4">
                  <c:v>2.0386246655017146</c:v>
                </c:pt>
                <c:pt idx="5">
                  <c:v>2.2786647412513297</c:v>
                </c:pt>
                <c:pt idx="6">
                  <c:v>2.8497400984882737</c:v>
                </c:pt>
                <c:pt idx="7">
                  <c:v>3.2820282586157496</c:v>
                </c:pt>
                <c:pt idx="8">
                  <c:v>3.5495609178438636</c:v>
                </c:pt>
                <c:pt idx="9">
                  <c:v>3.7397680352345093</c:v>
                </c:pt>
                <c:pt idx="10">
                  <c:v>3.8199706542837837</c:v>
                </c:pt>
                <c:pt idx="11">
                  <c:v>3.9415191739625346</c:v>
                </c:pt>
                <c:pt idx="12">
                  <c:v>4.0650490936633528</c:v>
                </c:pt>
                <c:pt idx="13">
                  <c:v>4.1299259905213876</c:v>
                </c:pt>
                <c:pt idx="14">
                  <c:v>4.1529604350090414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6F-4AF1-B55A-D7633DAB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057937202294153"/>
          <c:y val="0.37045223581762793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'[3]Organic Acid'!$B$25:$B$38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</c:numCache>
            </c:numRef>
          </c:xVal>
          <c:yVal>
            <c:numRef>
              <c:f>'[3]Organic Acid'!$D$25:$D$38</c:f>
              <c:numCache>
                <c:formatCode>General</c:formatCode>
                <c:ptCount val="14"/>
                <c:pt idx="0">
                  <c:v>1.6031935863344857</c:v>
                </c:pt>
                <c:pt idx="1">
                  <c:v>2.6011750276088645</c:v>
                </c:pt>
                <c:pt idx="2">
                  <c:v>4.1041715132588976</c:v>
                </c:pt>
                <c:pt idx="3">
                  <c:v>4.5677266102848382</c:v>
                </c:pt>
                <c:pt idx="4">
                  <c:v>5.1041015155615206</c:v>
                </c:pt>
                <c:pt idx="5">
                  <c:v>5.1057955086172653</c:v>
                </c:pt>
                <c:pt idx="6">
                  <c:v>5.1023063831062476</c:v>
                </c:pt>
                <c:pt idx="7">
                  <c:v>4.9398825509659403</c:v>
                </c:pt>
                <c:pt idx="8">
                  <c:v>4.7424429928665539</c:v>
                </c:pt>
                <c:pt idx="9">
                  <c:v>4.7167270544146369</c:v>
                </c:pt>
                <c:pt idx="10">
                  <c:v>4.6997912106937658</c:v>
                </c:pt>
                <c:pt idx="11">
                  <c:v>4.8541920333437387</c:v>
                </c:pt>
                <c:pt idx="12">
                  <c:v>5.2671595032500411</c:v>
                </c:pt>
                <c:pt idx="13">
                  <c:v>5.5053192318763111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C6-4A58-8F0A-F000BB3CFE0B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xVal>
            <c:numRef>
              <c:f>'[3]Organic Acid'!$B$25:$B$38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</c:numCache>
            </c:numRef>
          </c:xVal>
          <c:yVal>
            <c:numRef>
              <c:f>'[3]Organic Acid'!$F$25:$F$38</c:f>
              <c:numCache>
                <c:formatCode>General</c:formatCode>
                <c:ptCount val="14"/>
                <c:pt idx="0">
                  <c:v>10.371428046338218</c:v>
                </c:pt>
                <c:pt idx="1">
                  <c:v>14.166870516814773</c:v>
                </c:pt>
                <c:pt idx="2">
                  <c:v>17.978600998461282</c:v>
                </c:pt>
                <c:pt idx="3">
                  <c:v>19.483950576329626</c:v>
                </c:pt>
                <c:pt idx="4">
                  <c:v>20.910724532178182</c:v>
                </c:pt>
                <c:pt idx="5">
                  <c:v>20.705153264455525</c:v>
                </c:pt>
                <c:pt idx="6">
                  <c:v>21.02949646019713</c:v>
                </c:pt>
                <c:pt idx="7">
                  <c:v>20.205905586925628</c:v>
                </c:pt>
                <c:pt idx="8">
                  <c:v>19.718540303913667</c:v>
                </c:pt>
                <c:pt idx="9">
                  <c:v>19.089586574546846</c:v>
                </c:pt>
                <c:pt idx="10">
                  <c:v>18.711208125437722</c:v>
                </c:pt>
                <c:pt idx="11">
                  <c:v>17.927324328670455</c:v>
                </c:pt>
                <c:pt idx="12">
                  <c:v>17.314242043143928</c:v>
                </c:pt>
                <c:pt idx="13">
                  <c:v>16.679628180675515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C6-4A58-8F0A-F000BB3CFE0B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Acid'!$B$25:$B$38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</c:numCache>
            </c:numRef>
          </c:xVal>
          <c:yVal>
            <c:numRef>
              <c:f>'[3]Organic Acid'!$H$25:$H$38</c:f>
              <c:numCache>
                <c:formatCode>General</c:formatCode>
                <c:ptCount val="14"/>
                <c:pt idx="0">
                  <c:v>0.85043502664438975</c:v>
                </c:pt>
                <c:pt idx="1">
                  <c:v>1.3916418721720407</c:v>
                </c:pt>
                <c:pt idx="2">
                  <c:v>2.436513170944663</c:v>
                </c:pt>
                <c:pt idx="3">
                  <c:v>3.2087531299427399</c:v>
                </c:pt>
                <c:pt idx="4">
                  <c:v>3.6657896754399659</c:v>
                </c:pt>
                <c:pt idx="5">
                  <c:v>3.985774367563478</c:v>
                </c:pt>
                <c:pt idx="6">
                  <c:v>4.472253814216911</c:v>
                </c:pt>
                <c:pt idx="7">
                  <c:v>4.2338176121446969</c:v>
                </c:pt>
                <c:pt idx="8">
                  <c:v>4.1625438726980644</c:v>
                </c:pt>
                <c:pt idx="9">
                  <c:v>3.953016980120386</c:v>
                </c:pt>
                <c:pt idx="10">
                  <c:v>3.9514905225295975</c:v>
                </c:pt>
                <c:pt idx="11">
                  <c:v>3.8588441020881081</c:v>
                </c:pt>
                <c:pt idx="12">
                  <c:v>4.3590307915591513</c:v>
                </c:pt>
                <c:pt idx="13">
                  <c:v>4.6220280495973824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C6-4A58-8F0A-F000BB3CFE0B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Acid'!$B$25:$B$38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</c:numCache>
            </c:numRef>
          </c:xVal>
          <c:yVal>
            <c:numRef>
              <c:f>'[3]Organic Acid'!$J$25:$J$38</c:f>
              <c:numCache>
                <c:formatCode>General</c:formatCode>
                <c:ptCount val="14"/>
                <c:pt idx="0">
                  <c:v>8.2459714479491968</c:v>
                </c:pt>
                <c:pt idx="1">
                  <c:v>12.759697037843868</c:v>
                </c:pt>
                <c:pt idx="2">
                  <c:v>16.081023813316346</c:v>
                </c:pt>
                <c:pt idx="3">
                  <c:v>17.717079420353603</c:v>
                </c:pt>
                <c:pt idx="4">
                  <c:v>19.21922691840324</c:v>
                </c:pt>
                <c:pt idx="5">
                  <c:v>19.526883359208519</c:v>
                </c:pt>
                <c:pt idx="6">
                  <c:v>19.935241600875763</c:v>
                </c:pt>
                <c:pt idx="7">
                  <c:v>18.724724639255534</c:v>
                </c:pt>
                <c:pt idx="8">
                  <c:v>18.765845803309869</c:v>
                </c:pt>
                <c:pt idx="9">
                  <c:v>17.614808709574159</c:v>
                </c:pt>
                <c:pt idx="10">
                  <c:v>17.108588189267124</c:v>
                </c:pt>
                <c:pt idx="11">
                  <c:v>16.01739417105075</c:v>
                </c:pt>
                <c:pt idx="12">
                  <c:v>15.668194717455451</c:v>
                </c:pt>
                <c:pt idx="13">
                  <c:v>15.001694818542537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C6-4A58-8F0A-F000BB3C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4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Acid'!$B$5:$B$18</c:f>
              <c:numCache>
                <c:formatCode>General</c:formatCode>
                <c:ptCount val="14"/>
                <c:pt idx="0">
                  <c:v>0.33333333333333331</c:v>
                </c:pt>
                <c:pt idx="1">
                  <c:v>1.0166666666666666</c:v>
                </c:pt>
                <c:pt idx="2">
                  <c:v>1.5</c:v>
                </c:pt>
                <c:pt idx="3">
                  <c:v>2.0166666666666666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10.833333333333334</c:v>
                </c:pt>
              </c:numCache>
            </c:numRef>
          </c:xVal>
          <c:yVal>
            <c:numRef>
              <c:f>'[3]Organic Acid'!$D$5:$D$18</c:f>
              <c:numCache>
                <c:formatCode>General</c:formatCode>
                <c:ptCount val="14"/>
                <c:pt idx="0">
                  <c:v>3.9191170848733949</c:v>
                </c:pt>
                <c:pt idx="1">
                  <c:v>13.973809608378772</c:v>
                </c:pt>
                <c:pt idx="2">
                  <c:v>16.292367161559039</c:v>
                </c:pt>
                <c:pt idx="3">
                  <c:v>17.324789706042662</c:v>
                </c:pt>
                <c:pt idx="4">
                  <c:v>16.457595116116941</c:v>
                </c:pt>
                <c:pt idx="5">
                  <c:v>15.840853841772143</c:v>
                </c:pt>
                <c:pt idx="6">
                  <c:v>16.491983585439115</c:v>
                </c:pt>
                <c:pt idx="7">
                  <c:v>15.556128438309685</c:v>
                </c:pt>
                <c:pt idx="8">
                  <c:v>15.113764279599073</c:v>
                </c:pt>
                <c:pt idx="9">
                  <c:v>15.30288847888345</c:v>
                </c:pt>
                <c:pt idx="10">
                  <c:v>14.755964460519742</c:v>
                </c:pt>
                <c:pt idx="11">
                  <c:v>15.813889455425128</c:v>
                </c:pt>
                <c:pt idx="12">
                  <c:v>16.771406686772178</c:v>
                </c:pt>
                <c:pt idx="13">
                  <c:v>16.375373968085466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3-42F7-85EF-4E4A47D160A2}"/>
            </c:ext>
          </c:extLst>
        </c:ser>
        <c:ser>
          <c:idx val="1"/>
          <c:order val="1"/>
          <c:tx>
            <c:v>Fe(total) (Reactor A)</c:v>
          </c:tx>
          <c:spPr>
            <a:ln w="19050">
              <a:noFill/>
            </a:ln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Acid'!$B$5:$B$18</c:f>
              <c:numCache>
                <c:formatCode>General</c:formatCode>
                <c:ptCount val="14"/>
                <c:pt idx="0">
                  <c:v>0.33333333333333331</c:v>
                </c:pt>
                <c:pt idx="1">
                  <c:v>1.0166666666666666</c:v>
                </c:pt>
                <c:pt idx="2">
                  <c:v>1.5</c:v>
                </c:pt>
                <c:pt idx="3">
                  <c:v>2.0166666666666666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10.833333333333334</c:v>
                </c:pt>
              </c:numCache>
            </c:numRef>
          </c:xVal>
          <c:yVal>
            <c:numRef>
              <c:f>'[3]Organic Acid'!$F$5:$F$18</c:f>
              <c:numCache>
                <c:formatCode>General</c:formatCode>
                <c:ptCount val="14"/>
                <c:pt idx="0">
                  <c:v>10.065491966614729</c:v>
                </c:pt>
                <c:pt idx="1">
                  <c:v>24.292444046405301</c:v>
                </c:pt>
                <c:pt idx="2">
                  <c:v>27.715528812721647</c:v>
                </c:pt>
                <c:pt idx="3">
                  <c:v>29.130146827271297</c:v>
                </c:pt>
                <c:pt idx="4">
                  <c:v>28.376021392922123</c:v>
                </c:pt>
                <c:pt idx="5">
                  <c:v>27.411965439361534</c:v>
                </c:pt>
                <c:pt idx="6">
                  <c:v>27.631117550867746</c:v>
                </c:pt>
                <c:pt idx="7">
                  <c:v>25.649789056425515</c:v>
                </c:pt>
                <c:pt idx="8">
                  <c:v>24.256266868381385</c:v>
                </c:pt>
                <c:pt idx="9">
                  <c:v>23.366603573720123</c:v>
                </c:pt>
                <c:pt idx="10">
                  <c:v>22.007886536263346</c:v>
                </c:pt>
                <c:pt idx="11">
                  <c:v>21.33719829954352</c:v>
                </c:pt>
                <c:pt idx="12">
                  <c:v>21.15087970556862</c:v>
                </c:pt>
                <c:pt idx="13">
                  <c:v>20.810060816573596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3-42F7-85EF-4E4A47D1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4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7.6271222770885619E-2"/>
          <c:w val="0.24128094500622282"/>
          <c:h val="0.1851302312040270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Acid'!$D$108:$D$122</c:f>
              <c:numCache>
                <c:formatCode>General</c:formatCode>
                <c:ptCount val="15"/>
                <c:pt idx="0">
                  <c:v>0.1919756490295729</c:v>
                </c:pt>
                <c:pt idx="1">
                  <c:v>0.55546995494571449</c:v>
                </c:pt>
                <c:pt idx="2">
                  <c:v>1.0409768402430384</c:v>
                </c:pt>
                <c:pt idx="3">
                  <c:v>1.3972102679260057</c:v>
                </c:pt>
                <c:pt idx="4">
                  <c:v>1.7514877836108254</c:v>
                </c:pt>
                <c:pt idx="5">
                  <c:v>2.0767198851542794</c:v>
                </c:pt>
                <c:pt idx="6">
                  <c:v>2.5914807740374957</c:v>
                </c:pt>
                <c:pt idx="7">
                  <c:v>2.9219647375660158</c:v>
                </c:pt>
                <c:pt idx="8">
                  <c:v>3.270858156043051</c:v>
                </c:pt>
                <c:pt idx="9">
                  <c:v>3.4587270851412546</c:v>
                </c:pt>
                <c:pt idx="10">
                  <c:v>3.4600265941248631</c:v>
                </c:pt>
                <c:pt idx="11">
                  <c:v>3.4398140917917384</c:v>
                </c:pt>
                <c:pt idx="12">
                  <c:v>3.5158865101100414</c:v>
                </c:pt>
                <c:pt idx="13">
                  <c:v>3.8004033419191408</c:v>
                </c:pt>
                <c:pt idx="14">
                  <c:v>3.8964924494131101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69-448C-873B-2AAA6521088E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Acid'!$F$108:$F$122</c:f>
              <c:numCache>
                <c:formatCode>General</c:formatCode>
                <c:ptCount val="15"/>
                <c:pt idx="0">
                  <c:v>0.35530718394531086</c:v>
                </c:pt>
                <c:pt idx="1">
                  <c:v>0.76020904832617919</c:v>
                </c:pt>
                <c:pt idx="2">
                  <c:v>1.2695049650523316</c:v>
                </c:pt>
                <c:pt idx="3">
                  <c:v>1.6129755258644209</c:v>
                </c:pt>
                <c:pt idx="4">
                  <c:v>1.9715773325199084</c:v>
                </c:pt>
                <c:pt idx="5">
                  <c:v>2.2639891444190341</c:v>
                </c:pt>
                <c:pt idx="6">
                  <c:v>2.817386228961765</c:v>
                </c:pt>
                <c:pt idx="7">
                  <c:v>3.1290637895300613</c:v>
                </c:pt>
                <c:pt idx="8">
                  <c:v>3.4492730174008632</c:v>
                </c:pt>
                <c:pt idx="9">
                  <c:v>3.6267468359223507</c:v>
                </c:pt>
                <c:pt idx="10">
                  <c:v>3.631085426623649</c:v>
                </c:pt>
                <c:pt idx="11">
                  <c:v>3.6117722478428651</c:v>
                </c:pt>
                <c:pt idx="12">
                  <c:v>3.6981841666106536</c:v>
                </c:pt>
                <c:pt idx="13">
                  <c:v>3.9509100284679279</c:v>
                </c:pt>
                <c:pt idx="14">
                  <c:v>3.9863644431778016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69-448C-873B-2AAA6521088E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Acid'!$H$108:$H$122</c:f>
              <c:numCache>
                <c:formatCode>General</c:formatCode>
                <c:ptCount val="15"/>
                <c:pt idx="0">
                  <c:v>0.1955329018646122</c:v>
                </c:pt>
                <c:pt idx="1">
                  <c:v>0.65188322122062159</c:v>
                </c:pt>
                <c:pt idx="2">
                  <c:v>1.0381707287673276</c:v>
                </c:pt>
                <c:pt idx="3">
                  <c:v>1.3828320296054335</c:v>
                </c:pt>
                <c:pt idx="4">
                  <c:v>1.7356193634871682</c:v>
                </c:pt>
                <c:pt idx="5">
                  <c:v>2.0658990503243033</c:v>
                </c:pt>
                <c:pt idx="6">
                  <c:v>2.6220416603221546</c:v>
                </c:pt>
                <c:pt idx="7">
                  <c:v>3.0712671508243554</c:v>
                </c:pt>
                <c:pt idx="8">
                  <c:v>3.3624094877637209</c:v>
                </c:pt>
                <c:pt idx="9">
                  <c:v>3.5553079981525189</c:v>
                </c:pt>
                <c:pt idx="10">
                  <c:v>3.6503690434902012</c:v>
                </c:pt>
                <c:pt idx="11">
                  <c:v>3.7663448093392877</c:v>
                </c:pt>
                <c:pt idx="12">
                  <c:v>3.9095416325904724</c:v>
                </c:pt>
                <c:pt idx="13">
                  <c:v>4.0017607009893146</c:v>
                </c:pt>
                <c:pt idx="14">
                  <c:v>4.0706271910573522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69-448C-873B-2AAA6521088E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'[3]Organic Acid'!$B$108:$B$122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11.65</c:v>
                </c:pt>
              </c:numCache>
            </c:numRef>
          </c:xVal>
          <c:yVal>
            <c:numRef>
              <c:f>'[3]Organic Acid'!$J$108:$J$122</c:f>
              <c:numCache>
                <c:formatCode>General</c:formatCode>
                <c:ptCount val="15"/>
                <c:pt idx="0">
                  <c:v>0.45783711695794949</c:v>
                </c:pt>
                <c:pt idx="1">
                  <c:v>0.87751639007124249</c:v>
                </c:pt>
                <c:pt idx="2">
                  <c:v>1.2697334123651218</c:v>
                </c:pt>
                <c:pt idx="3">
                  <c:v>1.6088733797710317</c:v>
                </c:pt>
                <c:pt idx="4">
                  <c:v>2.0386246655017146</c:v>
                </c:pt>
                <c:pt idx="5">
                  <c:v>2.2786647412513297</c:v>
                </c:pt>
                <c:pt idx="6">
                  <c:v>2.8497400984882737</c:v>
                </c:pt>
                <c:pt idx="7">
                  <c:v>3.2820282586157496</c:v>
                </c:pt>
                <c:pt idx="8">
                  <c:v>3.5495609178438636</c:v>
                </c:pt>
                <c:pt idx="9">
                  <c:v>3.7397680352345093</c:v>
                </c:pt>
                <c:pt idx="10">
                  <c:v>3.8199706542837837</c:v>
                </c:pt>
                <c:pt idx="11">
                  <c:v>3.9415191739625346</c:v>
                </c:pt>
                <c:pt idx="12">
                  <c:v>4.0650490936633528</c:v>
                </c:pt>
                <c:pt idx="13">
                  <c:v>4.1299259905213876</c:v>
                </c:pt>
                <c:pt idx="14">
                  <c:v>4.1529604350090414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69-448C-873B-2AAA6521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5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057937202294153"/>
          <c:y val="0.37045223581762793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13648293963255"/>
          <c:y val="5.0925925925925923E-2"/>
          <c:w val="0.7919885254964335"/>
          <c:h val="0.73992971404890173"/>
        </c:manualLayout>
      </c:layout>
      <c:scatterChart>
        <c:scatterStyle val="lineMarker"/>
        <c:varyColors val="0"/>
        <c:ser>
          <c:idx val="0"/>
          <c:order val="0"/>
          <c:tx>
            <c:v>5 mM -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'[1]Experimental Data'!$D$42:$D$48</c:f>
              <c:numCache>
                <c:formatCode>General</c:formatCode>
                <c:ptCount val="7"/>
                <c:pt idx="0">
                  <c:v>0</c:v>
                </c:pt>
                <c:pt idx="1">
                  <c:v>2.7666666666666666</c:v>
                </c:pt>
                <c:pt idx="2">
                  <c:v>23.866666666666667</c:v>
                </c:pt>
                <c:pt idx="3">
                  <c:v>27.866666666666667</c:v>
                </c:pt>
                <c:pt idx="4">
                  <c:v>50.866666666666667</c:v>
                </c:pt>
                <c:pt idx="5">
                  <c:v>73.45</c:v>
                </c:pt>
                <c:pt idx="6">
                  <c:v>97.116666666666674</c:v>
                </c:pt>
              </c:numCache>
            </c:numRef>
          </c:xVal>
          <c:yVal>
            <c:numRef>
              <c:f>'[1]Experimental Data'!$P$42:$P$48</c:f>
              <c:numCache>
                <c:formatCode>General</c:formatCode>
                <c:ptCount val="7"/>
                <c:pt idx="2">
                  <c:v>17.771204604713748</c:v>
                </c:pt>
                <c:pt idx="3">
                  <c:v>17.63960706973721</c:v>
                </c:pt>
                <c:pt idx="4">
                  <c:v>18.911716574510397</c:v>
                </c:pt>
                <c:pt idx="5">
                  <c:v>16.718424324901456</c:v>
                </c:pt>
                <c:pt idx="6">
                  <c:v>10.621071870988589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F2-4B10-84CE-0511A7EFF6FC}"/>
            </c:ext>
          </c:extLst>
        </c:ser>
        <c:ser>
          <c:idx val="1"/>
          <c:order val="1"/>
          <c:tx>
            <c:v>5 mM -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'[1]Experimental Data'!$D$58:$D$64</c:f>
              <c:numCache>
                <c:formatCode>General</c:formatCode>
                <c:ptCount val="7"/>
                <c:pt idx="0">
                  <c:v>0</c:v>
                </c:pt>
                <c:pt idx="1">
                  <c:v>2.7666666666666666</c:v>
                </c:pt>
                <c:pt idx="2">
                  <c:v>23.866666666666667</c:v>
                </c:pt>
                <c:pt idx="3">
                  <c:v>27.866666666666667</c:v>
                </c:pt>
                <c:pt idx="4">
                  <c:v>50.866666666666667</c:v>
                </c:pt>
                <c:pt idx="5">
                  <c:v>73.45</c:v>
                </c:pt>
                <c:pt idx="6">
                  <c:v>97.116666666666674</c:v>
                </c:pt>
              </c:numCache>
            </c:numRef>
          </c:xVal>
          <c:yVal>
            <c:numRef>
              <c:f>'[1]Experimental Data'!$P$58:$P$64</c:f>
              <c:numCache>
                <c:formatCode>General</c:formatCode>
                <c:ptCount val="7"/>
                <c:pt idx="0">
                  <c:v>10.006950041098087</c:v>
                </c:pt>
                <c:pt idx="1">
                  <c:v>6.8486092016612083</c:v>
                </c:pt>
                <c:pt idx="2">
                  <c:v>9.8753525061215495</c:v>
                </c:pt>
                <c:pt idx="4">
                  <c:v>9.2173648312388679</c:v>
                </c:pt>
                <c:pt idx="5">
                  <c:v>9.8753525061215495</c:v>
                </c:pt>
                <c:pt idx="6">
                  <c:v>10.489474336012055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F2-4B10-84CE-0511A7EFF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327288"/>
        <c:axId val="745324008"/>
      </c:scatterChart>
      <c:valAx>
        <c:axId val="745327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24008"/>
        <c:crosses val="autoZero"/>
        <c:crossBetween val="midCat"/>
      </c:valAx>
      <c:valAx>
        <c:axId val="745324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layout>
            <c:manualLayout>
              <c:xMode val="edge"/>
              <c:yMode val="edge"/>
              <c:x val="4.1615575163502096E-2"/>
              <c:y val="0.31793286365520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2728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4013532268019533"/>
          <c:y val="0.4479953584749275"/>
          <c:w val="0.17222848055427714"/>
          <c:h val="0.1824726067136344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Fe(II)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[4]Data!$D$15:$D$28</c:f>
              <c:numCache>
                <c:formatCode>0.00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23.833333333333332</c:v>
                </c:pt>
                <c:pt idx="6">
                  <c:v>25.833333333333332</c:v>
                </c:pt>
                <c:pt idx="7">
                  <c:v>27.833333333333332</c:v>
                </c:pt>
                <c:pt idx="8">
                  <c:v>29.833333333333332</c:v>
                </c:pt>
                <c:pt idx="9">
                  <c:v>31.833333333333332</c:v>
                </c:pt>
                <c:pt idx="10">
                  <c:v>33.833333333333329</c:v>
                </c:pt>
                <c:pt idx="11">
                  <c:v>48</c:v>
                </c:pt>
                <c:pt idx="12">
                  <c:v>50</c:v>
                </c:pt>
                <c:pt idx="13">
                  <c:v>52</c:v>
                </c:pt>
              </c:numCache>
            </c:numRef>
          </c:xVal>
          <c:yVal>
            <c:numRef>
              <c:f>[4]Data!$L$15:$L$28</c:f>
              <c:numCache>
                <c:formatCode>General</c:formatCode>
                <c:ptCount val="14"/>
                <c:pt idx="0">
                  <c:v>4.0450504512680403E-2</c:v>
                </c:pt>
                <c:pt idx="1">
                  <c:v>1.1801652496474455E-2</c:v>
                </c:pt>
                <c:pt idx="2">
                  <c:v>5.1073597831695159E-3</c:v>
                </c:pt>
                <c:pt idx="3">
                  <c:v>4.8612241647535033E-3</c:v>
                </c:pt>
                <c:pt idx="4">
                  <c:v>5.600865324645112E-3</c:v>
                </c:pt>
                <c:pt idx="5">
                  <c:v>3.1322269448749184E-3</c:v>
                </c:pt>
                <c:pt idx="6">
                  <c:v>3.6179084509528046E-3</c:v>
                </c:pt>
                <c:pt idx="7">
                  <c:v>1.5954413841738468E-2</c:v>
                </c:pt>
                <c:pt idx="8">
                  <c:v>5.6215266221747934E-3</c:v>
                </c:pt>
                <c:pt idx="9">
                  <c:v>2.0269949397796133E-3</c:v>
                </c:pt>
                <c:pt idx="11">
                  <c:v>1.6097318243557698E-2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D0-4501-840D-2B88B476B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72495"/>
        <c:axId val="1072938831"/>
      </c:scatterChart>
      <c:valAx>
        <c:axId val="110907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2938831"/>
        <c:crosses val="autoZero"/>
        <c:crossBetween val="midCat"/>
      </c:valAx>
      <c:valAx>
        <c:axId val="10729388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907249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[4]Data!$D$46:$D$59</c:f>
              <c:numCache>
                <c:formatCode>0.00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23.833333333333332</c:v>
                </c:pt>
                <c:pt idx="6">
                  <c:v>25.833333333333332</c:v>
                </c:pt>
                <c:pt idx="7">
                  <c:v>27.833333333333332</c:v>
                </c:pt>
                <c:pt idx="8">
                  <c:v>29.833333333333332</c:v>
                </c:pt>
                <c:pt idx="9">
                  <c:v>31.833333333333332</c:v>
                </c:pt>
                <c:pt idx="10">
                  <c:v>33.833333333333329</c:v>
                </c:pt>
                <c:pt idx="11">
                  <c:v>48</c:v>
                </c:pt>
                <c:pt idx="12">
                  <c:v>50</c:v>
                </c:pt>
                <c:pt idx="13">
                  <c:v>52</c:v>
                </c:pt>
              </c:numCache>
            </c:numRef>
          </c:xVal>
          <c:yVal>
            <c:numRef>
              <c:f>[4]Data!$L$46:$L$59</c:f>
              <c:numCache>
                <c:formatCode>General</c:formatCode>
                <c:ptCount val="14"/>
                <c:pt idx="0">
                  <c:v>3.2115008803838413E-3</c:v>
                </c:pt>
                <c:pt idx="1">
                  <c:v>1.7205778079450974E-3</c:v>
                </c:pt>
                <c:pt idx="2">
                  <c:v>1.9182228191410259E-3</c:v>
                </c:pt>
                <c:pt idx="3">
                  <c:v>2.0453677112864011E-3</c:v>
                </c:pt>
                <c:pt idx="4">
                  <c:v>1.0146484127169443E-3</c:v>
                </c:pt>
                <c:pt idx="5">
                  <c:v>1.4301098701652316E-2</c:v>
                </c:pt>
                <c:pt idx="6">
                  <c:v>2.0044443207548654E-2</c:v>
                </c:pt>
                <c:pt idx="7">
                  <c:v>4.0932075894141273E-2</c:v>
                </c:pt>
                <c:pt idx="8">
                  <c:v>2.098132013999273E-2</c:v>
                </c:pt>
                <c:pt idx="9">
                  <c:v>3.0669475737229508E-2</c:v>
                </c:pt>
                <c:pt idx="11">
                  <c:v>4.4767858920790791E-2</c:v>
                </c:pt>
                <c:pt idx="12">
                  <c:v>3.419918286505208E-2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F0-4164-856B-03EBB0CA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72495"/>
        <c:axId val="1072938831"/>
      </c:scatterChart>
      <c:valAx>
        <c:axId val="110907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2938831"/>
        <c:crosses val="autoZero"/>
        <c:crossBetween val="midCat"/>
      </c:valAx>
      <c:valAx>
        <c:axId val="10729388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907249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13648293963255"/>
          <c:y val="5.0925925925925923E-2"/>
          <c:w val="0.7919885254964335"/>
          <c:h val="0.73992971404890173"/>
        </c:manualLayout>
      </c:layout>
      <c:scatterChart>
        <c:scatterStyle val="lineMarker"/>
        <c:varyColors val="0"/>
        <c:ser>
          <c:idx val="0"/>
          <c:order val="0"/>
          <c:tx>
            <c:v>10 mM -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'[1]Experimental Data'!$D$74:$D$80</c:f>
              <c:numCache>
                <c:formatCode>General</c:formatCode>
                <c:ptCount val="7"/>
                <c:pt idx="0">
                  <c:v>0</c:v>
                </c:pt>
                <c:pt idx="1">
                  <c:v>2.5833333333333335</c:v>
                </c:pt>
                <c:pt idx="2">
                  <c:v>23.683333333333334</c:v>
                </c:pt>
                <c:pt idx="3">
                  <c:v>27.683333333333334</c:v>
                </c:pt>
                <c:pt idx="4">
                  <c:v>50.683333333333337</c:v>
                </c:pt>
                <c:pt idx="5">
                  <c:v>73.266666666666666</c:v>
                </c:pt>
                <c:pt idx="6">
                  <c:v>96.933333333333337</c:v>
                </c:pt>
              </c:numCache>
            </c:numRef>
          </c:xVal>
          <c:yVal>
            <c:numRef>
              <c:f>'[1]Experimental Data'!$P$74:$P$80</c:f>
              <c:numCache>
                <c:formatCode>General</c:formatCode>
                <c:ptCount val="7"/>
                <c:pt idx="0">
                  <c:v>29.239951438821826</c:v>
                </c:pt>
                <c:pt idx="1">
                  <c:v>22.607435676004382</c:v>
                </c:pt>
                <c:pt idx="2">
                  <c:v>19.966711807475214</c:v>
                </c:pt>
                <c:pt idx="4">
                  <c:v>24.9410986295883</c:v>
                </c:pt>
                <c:pt idx="5">
                  <c:v>3.9381320473330543</c:v>
                </c:pt>
                <c:pt idx="6">
                  <c:v>4.9821391581469117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48-4EFC-A87F-571D3FB889A3}"/>
            </c:ext>
          </c:extLst>
        </c:ser>
        <c:ser>
          <c:idx val="1"/>
          <c:order val="1"/>
          <c:tx>
            <c:v>10 mM -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'[1]Experimental Data'!$D$90:$D$96</c:f>
              <c:numCache>
                <c:formatCode>General</c:formatCode>
                <c:ptCount val="7"/>
                <c:pt idx="0">
                  <c:v>0</c:v>
                </c:pt>
                <c:pt idx="1">
                  <c:v>2.5833333333333335</c:v>
                </c:pt>
                <c:pt idx="2">
                  <c:v>23.683333333333334</c:v>
                </c:pt>
                <c:pt idx="3">
                  <c:v>27.683333333333334</c:v>
                </c:pt>
                <c:pt idx="4">
                  <c:v>50.683333333333337</c:v>
                </c:pt>
                <c:pt idx="5">
                  <c:v>73.266666666666666</c:v>
                </c:pt>
                <c:pt idx="6">
                  <c:v>96.933333333333337</c:v>
                </c:pt>
              </c:numCache>
            </c:numRef>
          </c:xVal>
          <c:yVal>
            <c:numRef>
              <c:f>'[1]Experimental Data'!$P$90:$P$96</c:f>
              <c:numCache>
                <c:formatCode>General</c:formatCode>
                <c:ptCount val="7"/>
                <c:pt idx="0">
                  <c:v>31.082316928493348</c:v>
                </c:pt>
                <c:pt idx="1">
                  <c:v>23.774267152796345</c:v>
                </c:pt>
                <c:pt idx="2">
                  <c:v>25.985105740402155</c:v>
                </c:pt>
                <c:pt idx="4">
                  <c:v>25.800869191434998</c:v>
                </c:pt>
                <c:pt idx="5">
                  <c:v>25.739457008445953</c:v>
                </c:pt>
                <c:pt idx="6">
                  <c:v>23.528618420840139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48-4EFC-A87F-571D3FB8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327288"/>
        <c:axId val="745324008"/>
      </c:scatterChart>
      <c:valAx>
        <c:axId val="745327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24008"/>
        <c:crosses val="autoZero"/>
        <c:crossBetween val="midCat"/>
      </c:valAx>
      <c:valAx>
        <c:axId val="745324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5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layout>
            <c:manualLayout>
              <c:xMode val="edge"/>
              <c:yMode val="edge"/>
              <c:x val="4.1615575163502096E-2"/>
              <c:y val="0.31793286365520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532728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2881591973730031"/>
          <c:y val="0.41431114794861168"/>
          <c:w val="0.18354793807208464"/>
          <c:h val="0.2161568172399503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39986139986141"/>
          <c:y val="4.7781181693124369E-2"/>
          <c:w val="0.80203054659747564"/>
          <c:h val="0.75828510182207931"/>
        </c:manualLayout>
      </c:layout>
      <c:scatterChart>
        <c:scatterStyle val="lineMarker"/>
        <c:varyColors val="0"/>
        <c:ser>
          <c:idx val="0"/>
          <c:order val="0"/>
          <c:tx>
            <c:v>Fe(II)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'[2]Solution chemistry'!$D$37:$D$46</c:f>
              <c:numCache>
                <c:formatCode>General</c:formatCode>
                <c:ptCount val="10"/>
                <c:pt idx="0">
                  <c:v>8.3333333333333329E-2</c:v>
                </c:pt>
                <c:pt idx="1">
                  <c:v>3.0833333333333335</c:v>
                </c:pt>
                <c:pt idx="2">
                  <c:v>6.0833333333333339</c:v>
                </c:pt>
                <c:pt idx="3">
                  <c:v>23.166666666666664</c:v>
                </c:pt>
                <c:pt idx="4">
                  <c:v>30.166666666666664</c:v>
                </c:pt>
                <c:pt idx="5">
                  <c:v>46</c:v>
                </c:pt>
                <c:pt idx="6">
                  <c:v>46.666666666666664</c:v>
                </c:pt>
                <c:pt idx="7">
                  <c:v>50.333333333333329</c:v>
                </c:pt>
                <c:pt idx="8">
                  <c:v>65.666666666666657</c:v>
                </c:pt>
                <c:pt idx="9">
                  <c:v>70.166666666666657</c:v>
                </c:pt>
              </c:numCache>
            </c:numRef>
          </c:xVal>
          <c:yVal>
            <c:numRef>
              <c:f>'[2]Solution chemistry'!$O$37:$O$45</c:f>
              <c:numCache>
                <c:formatCode>General</c:formatCode>
                <c:ptCount val="9"/>
                <c:pt idx="0">
                  <c:v>4.55828256049214</c:v>
                </c:pt>
                <c:pt idx="1">
                  <c:v>5.6710028110231541</c:v>
                </c:pt>
                <c:pt idx="2">
                  <c:v>9.0621495703341797</c:v>
                </c:pt>
                <c:pt idx="3">
                  <c:v>18.375971454357693</c:v>
                </c:pt>
                <c:pt idx="4">
                  <c:v>18.333185951694801</c:v>
                </c:pt>
                <c:pt idx="5">
                  <c:v>20.307487024309083</c:v>
                </c:pt>
                <c:pt idx="6">
                  <c:v>20.040882825442019</c:v>
                </c:pt>
                <c:pt idx="7">
                  <c:v>23.343421943996745</c:v>
                </c:pt>
                <c:pt idx="8">
                  <c:v>21.876506892128305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F1-47A4-9D16-70A457D3E4EE}"/>
            </c:ext>
          </c:extLst>
        </c:ser>
        <c:ser>
          <c:idx val="1"/>
          <c:order val="1"/>
          <c:tx>
            <c:v>Fe(total)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'[2]Solution chemistry'!$D$37:$D$46</c:f>
              <c:numCache>
                <c:formatCode>General</c:formatCode>
                <c:ptCount val="10"/>
                <c:pt idx="0">
                  <c:v>8.3333333333333329E-2</c:v>
                </c:pt>
                <c:pt idx="1">
                  <c:v>3.0833333333333335</c:v>
                </c:pt>
                <c:pt idx="2">
                  <c:v>6.0833333333333339</c:v>
                </c:pt>
                <c:pt idx="3">
                  <c:v>23.166666666666664</c:v>
                </c:pt>
                <c:pt idx="4">
                  <c:v>30.166666666666664</c:v>
                </c:pt>
                <c:pt idx="5">
                  <c:v>46</c:v>
                </c:pt>
                <c:pt idx="6">
                  <c:v>46.666666666666664</c:v>
                </c:pt>
                <c:pt idx="7">
                  <c:v>50.333333333333329</c:v>
                </c:pt>
                <c:pt idx="8">
                  <c:v>65.666666666666657</c:v>
                </c:pt>
                <c:pt idx="9">
                  <c:v>70.166666666666657</c:v>
                </c:pt>
              </c:numCache>
            </c:numRef>
          </c:xVal>
          <c:yVal>
            <c:numRef>
              <c:f>'[2]Solution chemistry'!$O$37:$O$45</c:f>
              <c:numCache>
                <c:formatCode>General</c:formatCode>
                <c:ptCount val="9"/>
                <c:pt idx="0">
                  <c:v>4.55828256049214</c:v>
                </c:pt>
                <c:pt idx="1">
                  <c:v>5.6710028110231541</c:v>
                </c:pt>
                <c:pt idx="2">
                  <c:v>9.0621495703341797</c:v>
                </c:pt>
                <c:pt idx="3">
                  <c:v>18.375971454357693</c:v>
                </c:pt>
                <c:pt idx="4">
                  <c:v>18.333185951694801</c:v>
                </c:pt>
                <c:pt idx="5">
                  <c:v>20.307487024309083</c:v>
                </c:pt>
                <c:pt idx="6">
                  <c:v>20.040882825442019</c:v>
                </c:pt>
                <c:pt idx="7">
                  <c:v>23.343421943996745</c:v>
                </c:pt>
                <c:pt idx="8">
                  <c:v>21.876506892128305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F1-47A4-9D16-70A457D3E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72495"/>
        <c:axId val="1072938831"/>
      </c:scatterChart>
      <c:valAx>
        <c:axId val="110907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2938831"/>
        <c:crosses val="autoZero"/>
        <c:crossBetween val="midCat"/>
      </c:valAx>
      <c:valAx>
        <c:axId val="10729388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907249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7467087923780842"/>
          <c:y val="0.5726119283321095"/>
          <c:w val="0.14771304314611403"/>
          <c:h val="0.146308496003915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39986139986141"/>
          <c:y val="4.7781181693124369E-2"/>
          <c:w val="0.80203054659747564"/>
          <c:h val="0.75828510182207931"/>
        </c:manualLayout>
      </c:layout>
      <c:scatterChart>
        <c:scatterStyle val="lineMarker"/>
        <c:varyColors val="0"/>
        <c:ser>
          <c:idx val="0"/>
          <c:order val="0"/>
          <c:tx>
            <c:v>Fe(II)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'[2]Solution chemistry'!$D$37:$D$46</c:f>
              <c:numCache>
                <c:formatCode>General</c:formatCode>
                <c:ptCount val="10"/>
                <c:pt idx="0">
                  <c:v>8.3333333333333329E-2</c:v>
                </c:pt>
                <c:pt idx="1">
                  <c:v>3.0833333333333335</c:v>
                </c:pt>
                <c:pt idx="2">
                  <c:v>6.0833333333333339</c:v>
                </c:pt>
                <c:pt idx="3">
                  <c:v>23.166666666666664</c:v>
                </c:pt>
                <c:pt idx="4">
                  <c:v>30.166666666666664</c:v>
                </c:pt>
                <c:pt idx="5">
                  <c:v>46</c:v>
                </c:pt>
                <c:pt idx="6">
                  <c:v>46.666666666666664</c:v>
                </c:pt>
                <c:pt idx="7">
                  <c:v>50.333333333333329</c:v>
                </c:pt>
                <c:pt idx="8">
                  <c:v>65.666666666666657</c:v>
                </c:pt>
                <c:pt idx="9">
                  <c:v>70.166666666666657</c:v>
                </c:pt>
              </c:numCache>
            </c:numRef>
          </c:xVal>
          <c:yVal>
            <c:numRef>
              <c:f>'[2]Solution chemistry'!$O$14:$O$20</c:f>
              <c:numCache>
                <c:formatCode>General</c:formatCode>
                <c:ptCount val="7"/>
                <c:pt idx="0">
                  <c:v>8.6814584304818556</c:v>
                </c:pt>
                <c:pt idx="1">
                  <c:v>9.2043772181746899</c:v>
                </c:pt>
                <c:pt idx="2">
                  <c:v>9.9088529581198923</c:v>
                </c:pt>
                <c:pt idx="3">
                  <c:v>13.622431247737829</c:v>
                </c:pt>
                <c:pt idx="4">
                  <c:v>13.202341789296508</c:v>
                </c:pt>
                <c:pt idx="5">
                  <c:v>10.115203170648662</c:v>
                </c:pt>
                <c:pt idx="6">
                  <c:v>8.5324265627598077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8-4649-9EFB-2081EA852516}"/>
            </c:ext>
          </c:extLst>
        </c:ser>
        <c:ser>
          <c:idx val="1"/>
          <c:order val="1"/>
          <c:tx>
            <c:v>Fe(total)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'[2]Solution chemistry'!$D$37:$D$46</c:f>
              <c:numCache>
                <c:formatCode>General</c:formatCode>
                <c:ptCount val="10"/>
                <c:pt idx="0">
                  <c:v>8.3333333333333329E-2</c:v>
                </c:pt>
                <c:pt idx="1">
                  <c:v>3.0833333333333335</c:v>
                </c:pt>
                <c:pt idx="2">
                  <c:v>6.0833333333333339</c:v>
                </c:pt>
                <c:pt idx="3">
                  <c:v>23.166666666666664</c:v>
                </c:pt>
                <c:pt idx="4">
                  <c:v>30.166666666666664</c:v>
                </c:pt>
                <c:pt idx="5">
                  <c:v>46</c:v>
                </c:pt>
                <c:pt idx="6">
                  <c:v>46.666666666666664</c:v>
                </c:pt>
                <c:pt idx="7">
                  <c:v>50.333333333333329</c:v>
                </c:pt>
                <c:pt idx="8">
                  <c:v>65.666666666666657</c:v>
                </c:pt>
                <c:pt idx="9">
                  <c:v>70.166666666666657</c:v>
                </c:pt>
              </c:numCache>
            </c:numRef>
          </c:xVal>
          <c:yVal>
            <c:numRef>
              <c:f>'[2]Solution chemistry'!$O$14:$O$20</c:f>
              <c:numCache>
                <c:formatCode>General</c:formatCode>
                <c:ptCount val="7"/>
                <c:pt idx="0">
                  <c:v>8.6814584304818556</c:v>
                </c:pt>
                <c:pt idx="1">
                  <c:v>9.2043772181746899</c:v>
                </c:pt>
                <c:pt idx="2">
                  <c:v>9.9088529581198923</c:v>
                </c:pt>
                <c:pt idx="3">
                  <c:v>13.622431247737829</c:v>
                </c:pt>
                <c:pt idx="4">
                  <c:v>13.202341789296508</c:v>
                </c:pt>
                <c:pt idx="5">
                  <c:v>10.115203170648662</c:v>
                </c:pt>
                <c:pt idx="6">
                  <c:v>8.5324265627598077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8-4649-9EFB-2081EA85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072495"/>
        <c:axId val="1072938831"/>
      </c:scatterChart>
      <c:valAx>
        <c:axId val="110907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2938831"/>
        <c:crosses val="autoZero"/>
        <c:crossBetween val="midCat"/>
      </c:valAx>
      <c:valAx>
        <c:axId val="10729388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[Fe(II)]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907249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7467087923780842"/>
          <c:y val="0.5726119283321095"/>
          <c:w val="0.14771304314611403"/>
          <c:h val="0.146308496003915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Solutions'!$B$5:$B$16</c:f>
              <c:numCache>
                <c:formatCode>General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2.9833333333333334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'[3]Pure Solutions'!$D$5:$D$16</c:f>
              <c:numCache>
                <c:formatCode>General</c:formatCode>
                <c:ptCount val="12"/>
                <c:pt idx="0">
                  <c:v>0.77328632880777504</c:v>
                </c:pt>
                <c:pt idx="1">
                  <c:v>1.724409260351117</c:v>
                </c:pt>
                <c:pt idx="2">
                  <c:v>2.9803072893855389</c:v>
                </c:pt>
                <c:pt idx="3">
                  <c:v>3.3106588794812701</c:v>
                </c:pt>
                <c:pt idx="4">
                  <c:v>4.1605804743299233</c:v>
                </c:pt>
                <c:pt idx="5">
                  <c:v>4.376562192289394</c:v>
                </c:pt>
                <c:pt idx="6">
                  <c:v>5.115026459776165</c:v>
                </c:pt>
                <c:pt idx="7">
                  <c:v>5.3042809476603772</c:v>
                </c:pt>
                <c:pt idx="8">
                  <c:v>5.7792075691907172</c:v>
                </c:pt>
                <c:pt idx="9">
                  <c:v>5.659657317988402</c:v>
                </c:pt>
                <c:pt idx="10">
                  <c:v>6.0350997406534592</c:v>
                </c:pt>
                <c:pt idx="11">
                  <c:v>5.8952827049342291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1-4C41-8FE7-AB680A453AC0}"/>
            </c:ext>
          </c:extLst>
        </c:ser>
        <c:ser>
          <c:idx val="1"/>
          <c:order val="1"/>
          <c:tx>
            <c:v>Fe(total) (Reactor A)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Solutions'!$B$5:$B$16</c:f>
              <c:numCache>
                <c:formatCode>General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2.9833333333333334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'[3]Pure Solutions'!$F$5:$F$16</c:f>
              <c:numCache>
                <c:formatCode>General</c:formatCode>
                <c:ptCount val="12"/>
                <c:pt idx="0">
                  <c:v>0.81463853890444748</c:v>
                </c:pt>
                <c:pt idx="1">
                  <c:v>1.7600332839931012</c:v>
                </c:pt>
                <c:pt idx="2">
                  <c:v>3.0329139769536595</c:v>
                </c:pt>
                <c:pt idx="3">
                  <c:v>3.3421447216465898</c:v>
                </c:pt>
                <c:pt idx="4">
                  <c:v>4.191021229288439</c:v>
                </c:pt>
                <c:pt idx="5">
                  <c:v>4.4055529047057886</c:v>
                </c:pt>
                <c:pt idx="6">
                  <c:v>5.1606917056380199</c:v>
                </c:pt>
                <c:pt idx="7">
                  <c:v>5.3032471762809861</c:v>
                </c:pt>
                <c:pt idx="8">
                  <c:v>5.810723004710173</c:v>
                </c:pt>
                <c:pt idx="9">
                  <c:v>5.6787516300851992</c:v>
                </c:pt>
                <c:pt idx="10">
                  <c:v>6.0588092451431743</c:v>
                </c:pt>
                <c:pt idx="11">
                  <c:v>5.9040401154536166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1-4C41-8FE7-AB680A453AC0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Solutions'!$B$5:$B$17</c:f>
              <c:numCache>
                <c:formatCode>General</c:formatCode>
                <c:ptCount val="13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2.9833333333333334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'[3]Pure Solutions'!$H$5:$H$17</c:f>
              <c:numCache>
                <c:formatCode>General</c:formatCode>
                <c:ptCount val="13"/>
                <c:pt idx="0">
                  <c:v>0.8956496670372166</c:v>
                </c:pt>
                <c:pt idx="1">
                  <c:v>1.8768128128747423</c:v>
                </c:pt>
                <c:pt idx="2">
                  <c:v>2.8535003899415554</c:v>
                </c:pt>
                <c:pt idx="3">
                  <c:v>3.3187827588056211</c:v>
                </c:pt>
                <c:pt idx="4">
                  <c:v>3.9997223145244378</c:v>
                </c:pt>
                <c:pt idx="5">
                  <c:v>4.2474151693091482</c:v>
                </c:pt>
                <c:pt idx="6">
                  <c:v>4.7352110963619287</c:v>
                </c:pt>
                <c:pt idx="7">
                  <c:v>4.8082104642877868</c:v>
                </c:pt>
                <c:pt idx="8">
                  <c:v>5.0567585213556088</c:v>
                </c:pt>
                <c:pt idx="9">
                  <c:v>4.9348281390158739</c:v>
                </c:pt>
                <c:pt idx="10">
                  <c:v>5.1721955046296779</c:v>
                </c:pt>
                <c:pt idx="11">
                  <c:v>5.0688026863383246</c:v>
                </c:pt>
                <c:pt idx="12">
                  <c:v>5.3418361906286229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E1-4C41-8FE7-AB680A453AC0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Solutions'!$B$5:$B$17</c:f>
              <c:numCache>
                <c:formatCode>General</c:formatCode>
                <c:ptCount val="13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2.9833333333333334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xVal>
          <c:yVal>
            <c:numRef>
              <c:f>'[3]Pure Solutions'!$J$5:$J$17</c:f>
              <c:numCache>
                <c:formatCode>General</c:formatCode>
                <c:ptCount val="13"/>
                <c:pt idx="0">
                  <c:v>0.9495857211031522</c:v>
                </c:pt>
                <c:pt idx="1">
                  <c:v>1.9123604615402259</c:v>
                </c:pt>
                <c:pt idx="2">
                  <c:v>2.9066583823749035</c:v>
                </c:pt>
                <c:pt idx="3">
                  <c:v>3.355864130412388</c:v>
                </c:pt>
                <c:pt idx="4">
                  <c:v>4.0316870971360022</c:v>
                </c:pt>
                <c:pt idx="5">
                  <c:v>4.2654826864367408</c:v>
                </c:pt>
                <c:pt idx="6">
                  <c:v>4.7584128057844355</c:v>
                </c:pt>
                <c:pt idx="7">
                  <c:v>4.8004793937588639</c:v>
                </c:pt>
                <c:pt idx="8">
                  <c:v>5.0768107412166037</c:v>
                </c:pt>
                <c:pt idx="9">
                  <c:v>4.9785082797860873</c:v>
                </c:pt>
                <c:pt idx="10">
                  <c:v>5.2030589288243849</c:v>
                </c:pt>
                <c:pt idx="11">
                  <c:v>5.0718793495773768</c:v>
                </c:pt>
                <c:pt idx="12">
                  <c:v>5.3686097310539411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E1-4C41-8FE7-AB680A45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0.45738234056620786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(Anoxic)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Solutions'!$M$24:$M$38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4.5</c:v>
                </c:pt>
                <c:pt idx="8">
                  <c:v>5.5</c:v>
                </c:pt>
                <c:pt idx="9">
                  <c:v>6.5</c:v>
                </c:pt>
                <c:pt idx="10">
                  <c:v>7.5</c:v>
                </c:pt>
                <c:pt idx="11">
                  <c:v>8.9499999999999993</c:v>
                </c:pt>
                <c:pt idx="12">
                  <c:v>9.9499999999999993</c:v>
                </c:pt>
                <c:pt idx="13">
                  <c:v>10.95</c:v>
                </c:pt>
                <c:pt idx="14">
                  <c:v>11.95</c:v>
                </c:pt>
              </c:numCache>
            </c:numRef>
          </c:xVal>
          <c:yVal>
            <c:numRef>
              <c:f>'[3]Pure Solutions'!$O$24:$O$38</c:f>
              <c:numCache>
                <c:formatCode>General</c:formatCode>
                <c:ptCount val="15"/>
                <c:pt idx="0">
                  <c:v>1.1182285082444972</c:v>
                </c:pt>
                <c:pt idx="1">
                  <c:v>2.0358623607679669</c:v>
                </c:pt>
                <c:pt idx="2">
                  <c:v>3.5460508218395228</c:v>
                </c:pt>
                <c:pt idx="3">
                  <c:v>4.3996543719262755</c:v>
                </c:pt>
                <c:pt idx="4">
                  <c:v>4.8258794479900002</c:v>
                </c:pt>
                <c:pt idx="5">
                  <c:v>5.3402011808260275</c:v>
                </c:pt>
                <c:pt idx="6">
                  <c:v>5.7203221639183868</c:v>
                </c:pt>
                <c:pt idx="7">
                  <c:v>6.0546635656427945</c:v>
                </c:pt>
                <c:pt idx="8">
                  <c:v>6.7667088154043649</c:v>
                </c:pt>
                <c:pt idx="9">
                  <c:v>6.2709739020925337</c:v>
                </c:pt>
                <c:pt idx="10">
                  <c:v>6.2930394174932589</c:v>
                </c:pt>
                <c:pt idx="11">
                  <c:v>6.3027091185546826</c:v>
                </c:pt>
                <c:pt idx="12">
                  <c:v>6.4486478207522833</c:v>
                </c:pt>
                <c:pt idx="13">
                  <c:v>6.32899329791094</c:v>
                </c:pt>
                <c:pt idx="14">
                  <c:v>6.4984566443226175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9-487A-9FA3-2A17CB3EC053}"/>
            </c:ext>
          </c:extLst>
        </c:ser>
        <c:ser>
          <c:idx val="1"/>
          <c:order val="1"/>
          <c:tx>
            <c:v>Fe(total) (Anoxic)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Solutions'!$M$24:$M$38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4.5</c:v>
                </c:pt>
                <c:pt idx="8">
                  <c:v>5.5</c:v>
                </c:pt>
                <c:pt idx="9">
                  <c:v>6.5</c:v>
                </c:pt>
                <c:pt idx="10">
                  <c:v>7.5</c:v>
                </c:pt>
                <c:pt idx="11">
                  <c:v>8.9499999999999993</c:v>
                </c:pt>
                <c:pt idx="12">
                  <c:v>9.9499999999999993</c:v>
                </c:pt>
                <c:pt idx="13">
                  <c:v>10.95</c:v>
                </c:pt>
                <c:pt idx="14">
                  <c:v>11.95</c:v>
                </c:pt>
              </c:numCache>
            </c:numRef>
          </c:xVal>
          <c:yVal>
            <c:numRef>
              <c:f>'[3]Pure Solutions'!$Q$24:$Q$38</c:f>
              <c:numCache>
                <c:formatCode>General</c:formatCode>
                <c:ptCount val="15"/>
                <c:pt idx="0">
                  <c:v>1.3740159172033588</c:v>
                </c:pt>
                <c:pt idx="1">
                  <c:v>2.2782068226262857</c:v>
                </c:pt>
                <c:pt idx="2">
                  <c:v>3.8689541928583466</c:v>
                </c:pt>
                <c:pt idx="3">
                  <c:v>4.6170152280556582</c:v>
                </c:pt>
                <c:pt idx="4">
                  <c:v>5.1135146468768218</c:v>
                </c:pt>
                <c:pt idx="5">
                  <c:v>5.5224921445257671</c:v>
                </c:pt>
                <c:pt idx="6">
                  <c:v>5.9548376574398905</c:v>
                </c:pt>
                <c:pt idx="7">
                  <c:v>6.2257992804611586</c:v>
                </c:pt>
                <c:pt idx="8">
                  <c:v>7.0082235082950834</c:v>
                </c:pt>
                <c:pt idx="9">
                  <c:v>6.4258233258686257</c:v>
                </c:pt>
                <c:pt idx="10">
                  <c:v>6.4522701795193438</c:v>
                </c:pt>
                <c:pt idx="11">
                  <c:v>6.4657175737535919</c:v>
                </c:pt>
                <c:pt idx="12">
                  <c:v>6.5961220952393429</c:v>
                </c:pt>
                <c:pt idx="13">
                  <c:v>6.5335087710174244</c:v>
                </c:pt>
                <c:pt idx="14">
                  <c:v>6.5973313781554381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59-487A-9FA3-2A17CB3EC053}"/>
            </c:ext>
          </c:extLst>
        </c:ser>
        <c:ser>
          <c:idx val="2"/>
          <c:order val="2"/>
          <c:tx>
            <c:v>Fe(II) (Oxic)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Solutions'!$B$24:$B$38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2.9666666666666668</c:v>
                </c:pt>
                <c:pt idx="6">
                  <c:v>4</c:v>
                </c:pt>
                <c:pt idx="7">
                  <c:v>5.0166666666666666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numCache>
            </c:numRef>
          </c:xVal>
          <c:yVal>
            <c:numRef>
              <c:f>'[3]Pure Solutions'!$H$24:$H$38</c:f>
              <c:numCache>
                <c:formatCode>General</c:formatCode>
                <c:ptCount val="15"/>
                <c:pt idx="0">
                  <c:v>0.76706014439728432</c:v>
                </c:pt>
                <c:pt idx="1">
                  <c:v>1.4609972184669426</c:v>
                </c:pt>
                <c:pt idx="2">
                  <c:v>2.0619479895959172</c:v>
                </c:pt>
                <c:pt idx="3">
                  <c:v>2.5864871527689535</c:v>
                </c:pt>
                <c:pt idx="4">
                  <c:v>3.0149016849125201</c:v>
                </c:pt>
                <c:pt idx="5">
                  <c:v>3.3569415125113617</c:v>
                </c:pt>
                <c:pt idx="6">
                  <c:v>3.8397962887318733</c:v>
                </c:pt>
                <c:pt idx="7">
                  <c:v>4.3361170098353465</c:v>
                </c:pt>
                <c:pt idx="8">
                  <c:v>4.5368035381511298</c:v>
                </c:pt>
                <c:pt idx="10">
                  <c:v>4.7465821212367842</c:v>
                </c:pt>
                <c:pt idx="11">
                  <c:v>4.7140424921486934</c:v>
                </c:pt>
                <c:pt idx="12">
                  <c:v>4.769117603714637</c:v>
                </c:pt>
                <c:pt idx="13">
                  <c:v>4.7282216041244984</c:v>
                </c:pt>
                <c:pt idx="14">
                  <c:v>4.8309513582859456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59-487A-9FA3-2A17CB3EC053}"/>
            </c:ext>
          </c:extLst>
        </c:ser>
        <c:ser>
          <c:idx val="3"/>
          <c:order val="3"/>
          <c:tx>
            <c:v>Fe(total) (Oxic)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Solutions'!$B$24:$B$38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2.9666666666666668</c:v>
                </c:pt>
                <c:pt idx="6">
                  <c:v>4</c:v>
                </c:pt>
                <c:pt idx="7">
                  <c:v>5.0166666666666666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numCache>
            </c:numRef>
          </c:xVal>
          <c:yVal>
            <c:numRef>
              <c:f>'[3]Pure Solutions'!$J$24:$J$38</c:f>
              <c:numCache>
                <c:formatCode>General</c:formatCode>
                <c:ptCount val="15"/>
                <c:pt idx="0">
                  <c:v>0.88669337792713598</c:v>
                </c:pt>
                <c:pt idx="1">
                  <c:v>1.5230206852886523</c:v>
                </c:pt>
                <c:pt idx="2">
                  <c:v>2.1581722291103937</c:v>
                </c:pt>
                <c:pt idx="3">
                  <c:v>2.6690346150913666</c:v>
                </c:pt>
                <c:pt idx="4">
                  <c:v>3.1247842064583069</c:v>
                </c:pt>
                <c:pt idx="5">
                  <c:v>3.4871086323842508</c:v>
                </c:pt>
                <c:pt idx="6">
                  <c:v>3.778085276948683</c:v>
                </c:pt>
                <c:pt idx="7">
                  <c:v>4.1100635164316079</c:v>
                </c:pt>
                <c:pt idx="8">
                  <c:v>4.3580809745269944</c:v>
                </c:pt>
                <c:pt idx="10">
                  <c:v>4.6162568895843306</c:v>
                </c:pt>
                <c:pt idx="11">
                  <c:v>4.5905304617867193</c:v>
                </c:pt>
                <c:pt idx="12">
                  <c:v>4.6590081063705773</c:v>
                </c:pt>
                <c:pt idx="13">
                  <c:v>4.6254341779478798</c:v>
                </c:pt>
                <c:pt idx="14">
                  <c:v>4.7007555060768222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59-487A-9FA3-2A17CB3EC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0.45738234056620786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Solutions'!$B$45:$B$57</c:f>
              <c:numCache>
                <c:formatCode>General</c:formatCode>
                <c:ptCount val="13"/>
                <c:pt idx="0">
                  <c:v>1</c:v>
                </c:pt>
                <c:pt idx="1">
                  <c:v>2.0333333333333332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7.083333333333333</c:v>
                </c:pt>
                <c:pt idx="6">
                  <c:v>9.0166666666666675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23.616666666666667</c:v>
                </c:pt>
                <c:pt idx="11">
                  <c:v>24.616666666666667</c:v>
                </c:pt>
                <c:pt idx="12">
                  <c:v>25.616666666666667</c:v>
                </c:pt>
              </c:numCache>
            </c:numRef>
          </c:xVal>
          <c:yVal>
            <c:numRef>
              <c:f>'[3]Pure Solutions'!$D$45:$D$57</c:f>
              <c:numCache>
                <c:formatCode>General</c:formatCode>
                <c:ptCount val="13"/>
                <c:pt idx="0">
                  <c:v>0.37815056507575689</c:v>
                </c:pt>
                <c:pt idx="1">
                  <c:v>0.37815056507575689</c:v>
                </c:pt>
                <c:pt idx="2">
                  <c:v>1.8895409061415753</c:v>
                </c:pt>
                <c:pt idx="3">
                  <c:v>1.640208109830505</c:v>
                </c:pt>
                <c:pt idx="4">
                  <c:v>1.5546091675527274</c:v>
                </c:pt>
                <c:pt idx="5">
                  <c:v>1.48992156443158</c:v>
                </c:pt>
                <c:pt idx="6">
                  <c:v>2.0278178055147684</c:v>
                </c:pt>
                <c:pt idx="7">
                  <c:v>2.2234734989265403</c:v>
                </c:pt>
                <c:pt idx="8">
                  <c:v>2.4471775034208467</c:v>
                </c:pt>
                <c:pt idx="9">
                  <c:v>2.4409129680506338</c:v>
                </c:pt>
                <c:pt idx="10">
                  <c:v>2.7087401204593999</c:v>
                </c:pt>
                <c:pt idx="11">
                  <c:v>2.665770250078717</c:v>
                </c:pt>
                <c:pt idx="12">
                  <c:v>2.782079555832063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4B-4158-9053-7679EE9135F9}"/>
            </c:ext>
          </c:extLst>
        </c:ser>
        <c:ser>
          <c:idx val="1"/>
          <c:order val="1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Solutions'!$B$45:$B$57</c:f>
              <c:numCache>
                <c:formatCode>General</c:formatCode>
                <c:ptCount val="13"/>
                <c:pt idx="0">
                  <c:v>1</c:v>
                </c:pt>
                <c:pt idx="1">
                  <c:v>2.0333333333333332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7.083333333333333</c:v>
                </c:pt>
                <c:pt idx="6">
                  <c:v>9.0166666666666675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23.616666666666667</c:v>
                </c:pt>
                <c:pt idx="11">
                  <c:v>24.616666666666667</c:v>
                </c:pt>
                <c:pt idx="12">
                  <c:v>25.616666666666667</c:v>
                </c:pt>
              </c:numCache>
            </c:numRef>
          </c:xVal>
          <c:yVal>
            <c:numRef>
              <c:f>'[3]Pure Solutions'!$F$45:$F$57</c:f>
              <c:numCache>
                <c:formatCode>General</c:formatCode>
                <c:ptCount val="13"/>
                <c:pt idx="0">
                  <c:v>5.9716536758434267E-2</c:v>
                </c:pt>
                <c:pt idx="1">
                  <c:v>0.39845164181776749</c:v>
                </c:pt>
                <c:pt idx="2">
                  <c:v>1.9190378716185328</c:v>
                </c:pt>
                <c:pt idx="3">
                  <c:v>1.6610670514561583</c:v>
                </c:pt>
                <c:pt idx="4">
                  <c:v>1.5829124428056855</c:v>
                </c:pt>
                <c:pt idx="5">
                  <c:v>1.5004908826942771</c:v>
                </c:pt>
                <c:pt idx="6">
                  <c:v>2.0534425523740736</c:v>
                </c:pt>
                <c:pt idx="7">
                  <c:v>2.2756101189013695</c:v>
                </c:pt>
                <c:pt idx="8">
                  <c:v>2.4721380899410761</c:v>
                </c:pt>
                <c:pt idx="9">
                  <c:v>2.4724421490431974</c:v>
                </c:pt>
                <c:pt idx="10">
                  <c:v>2.7232530793902958</c:v>
                </c:pt>
                <c:pt idx="11">
                  <c:v>2.7265532850967982</c:v>
                </c:pt>
                <c:pt idx="12">
                  <c:v>2.7893934855607148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B-4158-9053-7679EE9135F9}"/>
            </c:ext>
          </c:extLst>
        </c:ser>
        <c:ser>
          <c:idx val="2"/>
          <c:order val="2"/>
          <c:tx>
            <c:v>Fe(II)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Solutions'!$B$45:$B$59</c:f>
              <c:numCache>
                <c:formatCode>General</c:formatCode>
                <c:ptCount val="15"/>
                <c:pt idx="0">
                  <c:v>1</c:v>
                </c:pt>
                <c:pt idx="1">
                  <c:v>2.0333333333333332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7.083333333333333</c:v>
                </c:pt>
                <c:pt idx="6">
                  <c:v>9.0166666666666675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23.616666666666667</c:v>
                </c:pt>
                <c:pt idx="11">
                  <c:v>24.616666666666667</c:v>
                </c:pt>
                <c:pt idx="12">
                  <c:v>25.616666666666667</c:v>
                </c:pt>
              </c:numCache>
            </c:numRef>
          </c:xVal>
          <c:yVal>
            <c:numRef>
              <c:f>'[3]Pure Solutions'!$H$45:$H$57</c:f>
              <c:numCache>
                <c:formatCode>General</c:formatCode>
                <c:ptCount val="13"/>
                <c:pt idx="0">
                  <c:v>0.94401258185676029</c:v>
                </c:pt>
                <c:pt idx="1">
                  <c:v>1.7502777017076547</c:v>
                </c:pt>
                <c:pt idx="2">
                  <c:v>1.4229250535693039</c:v>
                </c:pt>
                <c:pt idx="3">
                  <c:v>1.2628964671654999</c:v>
                </c:pt>
                <c:pt idx="4">
                  <c:v>1.1840199880996736</c:v>
                </c:pt>
                <c:pt idx="5">
                  <c:v>1.4591773575111624</c:v>
                </c:pt>
                <c:pt idx="6">
                  <c:v>1.9744394840923083</c:v>
                </c:pt>
                <c:pt idx="7">
                  <c:v>2.1347053306001671</c:v>
                </c:pt>
                <c:pt idx="8">
                  <c:v>2.2133744698301321</c:v>
                </c:pt>
                <c:pt idx="9">
                  <c:v>2.9261033604471556</c:v>
                </c:pt>
                <c:pt idx="10">
                  <c:v>3.2915742002543649</c:v>
                </c:pt>
                <c:pt idx="11">
                  <c:v>3.2828280146438402</c:v>
                </c:pt>
                <c:pt idx="12">
                  <c:v>3.3784038550066344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B-4158-9053-7679EE9135F9}"/>
            </c:ext>
          </c:extLst>
        </c:ser>
        <c:ser>
          <c:idx val="3"/>
          <c:order val="3"/>
          <c:tx>
            <c:v>Fe(total)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Solutions'!$B$45:$B$57</c:f>
              <c:numCache>
                <c:formatCode>General</c:formatCode>
                <c:ptCount val="13"/>
                <c:pt idx="0">
                  <c:v>1</c:v>
                </c:pt>
                <c:pt idx="1">
                  <c:v>2.0333333333333332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7.083333333333333</c:v>
                </c:pt>
                <c:pt idx="6">
                  <c:v>9.0166666666666675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23.616666666666667</c:v>
                </c:pt>
                <c:pt idx="11">
                  <c:v>24.616666666666667</c:v>
                </c:pt>
                <c:pt idx="12">
                  <c:v>25.616666666666667</c:v>
                </c:pt>
              </c:numCache>
            </c:numRef>
          </c:xVal>
          <c:yVal>
            <c:numRef>
              <c:f>'[3]Pure Solutions'!$J$45:$J$57</c:f>
              <c:numCache>
                <c:formatCode>General</c:formatCode>
                <c:ptCount val="13"/>
                <c:pt idx="0">
                  <c:v>0.97573530894278893</c:v>
                </c:pt>
                <c:pt idx="1">
                  <c:v>1.7742683972614548</c:v>
                </c:pt>
                <c:pt idx="2">
                  <c:v>1.4649494449488218</c:v>
                </c:pt>
                <c:pt idx="3">
                  <c:v>1.2935628272953463</c:v>
                </c:pt>
                <c:pt idx="4">
                  <c:v>1.2160676017816889</c:v>
                </c:pt>
                <c:pt idx="5">
                  <c:v>1.4799682958751306</c:v>
                </c:pt>
                <c:pt idx="6">
                  <c:v>2.0082613805161929</c:v>
                </c:pt>
                <c:pt idx="7">
                  <c:v>2.1874055434069279</c:v>
                </c:pt>
                <c:pt idx="8">
                  <c:v>2.2361820756082409</c:v>
                </c:pt>
                <c:pt idx="9">
                  <c:v>2.9526980203567907</c:v>
                </c:pt>
                <c:pt idx="10">
                  <c:v>3.3067316324690372</c:v>
                </c:pt>
                <c:pt idx="11">
                  <c:v>3.3003336847344764</c:v>
                </c:pt>
                <c:pt idx="12">
                  <c:v>3.3811847204084309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4B-4158-9053-7679EE91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Concentration*10^5 (mol/kg)</a:t>
                </a:r>
              </a:p>
            </c:rich>
          </c:tx>
          <c:layout>
            <c:manualLayout>
              <c:xMode val="edge"/>
              <c:yMode val="edge"/>
              <c:x val="6.7878240829652409E-2"/>
              <c:y val="0.13474184047604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811023622047243"/>
          <c:y val="0.45738234056620786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75423279343967"/>
          <c:y val="4.3912175648702596E-2"/>
          <c:w val="0.77533903145526506"/>
          <c:h val="0.77505681550285255"/>
        </c:manualLayout>
      </c:layout>
      <c:scatterChart>
        <c:scatterStyle val="lineMarker"/>
        <c:varyColors val="0"/>
        <c:ser>
          <c:idx val="0"/>
          <c:order val="0"/>
          <c:tx>
            <c:v>Fe(II) (Anoxic)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Solutions'!$M$24:$M$38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4.5</c:v>
                </c:pt>
                <c:pt idx="8">
                  <c:v>5.5</c:v>
                </c:pt>
                <c:pt idx="9">
                  <c:v>6.5</c:v>
                </c:pt>
                <c:pt idx="10">
                  <c:v>7.5</c:v>
                </c:pt>
                <c:pt idx="11">
                  <c:v>8.9499999999999993</c:v>
                </c:pt>
                <c:pt idx="12">
                  <c:v>9.9499999999999993</c:v>
                </c:pt>
                <c:pt idx="13">
                  <c:v>10.95</c:v>
                </c:pt>
                <c:pt idx="14">
                  <c:v>11.95</c:v>
                </c:pt>
              </c:numCache>
            </c:numRef>
          </c:xVal>
          <c:yVal>
            <c:numRef>
              <c:f>'[3]Pure Solutions'!$O$24:$O$38</c:f>
              <c:numCache>
                <c:formatCode>General</c:formatCode>
                <c:ptCount val="15"/>
                <c:pt idx="0">
                  <c:v>1.1182285082444972</c:v>
                </c:pt>
                <c:pt idx="1">
                  <c:v>2.0358623607679669</c:v>
                </c:pt>
                <c:pt idx="2">
                  <c:v>3.5460508218395228</c:v>
                </c:pt>
                <c:pt idx="3">
                  <c:v>4.3996543719262755</c:v>
                </c:pt>
                <c:pt idx="4">
                  <c:v>4.8258794479900002</c:v>
                </c:pt>
                <c:pt idx="5">
                  <c:v>5.3402011808260275</c:v>
                </c:pt>
                <c:pt idx="6">
                  <c:v>5.7203221639183868</c:v>
                </c:pt>
                <c:pt idx="7">
                  <c:v>6.0546635656427945</c:v>
                </c:pt>
                <c:pt idx="8">
                  <c:v>6.7667088154043649</c:v>
                </c:pt>
                <c:pt idx="9">
                  <c:v>6.2709739020925337</c:v>
                </c:pt>
                <c:pt idx="10">
                  <c:v>6.2930394174932589</c:v>
                </c:pt>
                <c:pt idx="11">
                  <c:v>6.3027091185546826</c:v>
                </c:pt>
                <c:pt idx="12">
                  <c:v>6.4486478207522833</c:v>
                </c:pt>
                <c:pt idx="13">
                  <c:v>6.32899329791094</c:v>
                </c:pt>
                <c:pt idx="14">
                  <c:v>6.4984566443226175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1B-4506-A330-9DD92D7A0FB5}"/>
            </c:ext>
          </c:extLst>
        </c:ser>
        <c:ser>
          <c:idx val="1"/>
          <c:order val="1"/>
          <c:tx>
            <c:v>Fe(total) (Anoxic)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xVal>
            <c:numRef>
              <c:f>'[3]Pure Solutions'!$M$24:$M$38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4.5</c:v>
                </c:pt>
                <c:pt idx="8">
                  <c:v>5.5</c:v>
                </c:pt>
                <c:pt idx="9">
                  <c:v>6.5</c:v>
                </c:pt>
                <c:pt idx="10">
                  <c:v>7.5</c:v>
                </c:pt>
                <c:pt idx="11">
                  <c:v>8.9499999999999993</c:v>
                </c:pt>
                <c:pt idx="12">
                  <c:v>9.9499999999999993</c:v>
                </c:pt>
                <c:pt idx="13">
                  <c:v>10.95</c:v>
                </c:pt>
                <c:pt idx="14">
                  <c:v>11.95</c:v>
                </c:pt>
              </c:numCache>
            </c:numRef>
          </c:xVal>
          <c:yVal>
            <c:numRef>
              <c:f>'[3]Pure Solutions'!$Q$24:$Q$38</c:f>
              <c:numCache>
                <c:formatCode>General</c:formatCode>
                <c:ptCount val="15"/>
                <c:pt idx="0">
                  <c:v>1.3740159172033588</c:v>
                </c:pt>
                <c:pt idx="1">
                  <c:v>2.2782068226262857</c:v>
                </c:pt>
                <c:pt idx="2">
                  <c:v>3.8689541928583466</c:v>
                </c:pt>
                <c:pt idx="3">
                  <c:v>4.6170152280556582</c:v>
                </c:pt>
                <c:pt idx="4">
                  <c:v>5.1135146468768218</c:v>
                </c:pt>
                <c:pt idx="5">
                  <c:v>5.5224921445257671</c:v>
                </c:pt>
                <c:pt idx="6">
                  <c:v>5.9548376574398905</c:v>
                </c:pt>
                <c:pt idx="7">
                  <c:v>6.2257992804611586</c:v>
                </c:pt>
                <c:pt idx="8">
                  <c:v>7.0082235082950834</c:v>
                </c:pt>
                <c:pt idx="9">
                  <c:v>6.4258233258686257</c:v>
                </c:pt>
                <c:pt idx="10">
                  <c:v>6.4522701795193438</c:v>
                </c:pt>
                <c:pt idx="11">
                  <c:v>6.4657175737535919</c:v>
                </c:pt>
                <c:pt idx="12">
                  <c:v>6.5961220952393429</c:v>
                </c:pt>
                <c:pt idx="13">
                  <c:v>6.5335087710174244</c:v>
                </c:pt>
                <c:pt idx="14">
                  <c:v>6.5973313781554381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1B-4506-A330-9DD92D7A0FB5}"/>
            </c:ext>
          </c:extLst>
        </c:ser>
        <c:ser>
          <c:idx val="2"/>
          <c:order val="2"/>
          <c:tx>
            <c:v>Fe(II) (Oxic)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Solutions'!$B$24:$B$38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2.9666666666666668</c:v>
                </c:pt>
                <c:pt idx="6">
                  <c:v>4</c:v>
                </c:pt>
                <c:pt idx="7">
                  <c:v>5.0166666666666666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numCache>
            </c:numRef>
          </c:xVal>
          <c:yVal>
            <c:numRef>
              <c:f>'[3]Pure Solutions'!$H$24:$H$38</c:f>
              <c:numCache>
                <c:formatCode>General</c:formatCode>
                <c:ptCount val="15"/>
                <c:pt idx="0">
                  <c:v>0.76706014439728432</c:v>
                </c:pt>
                <c:pt idx="1">
                  <c:v>1.4609972184669426</c:v>
                </c:pt>
                <c:pt idx="2">
                  <c:v>2.0619479895959172</c:v>
                </c:pt>
                <c:pt idx="3">
                  <c:v>2.5864871527689535</c:v>
                </c:pt>
                <c:pt idx="4">
                  <c:v>3.0149016849125201</c:v>
                </c:pt>
                <c:pt idx="5">
                  <c:v>3.3569415125113617</c:v>
                </c:pt>
                <c:pt idx="6">
                  <c:v>3.8397962887318733</c:v>
                </c:pt>
                <c:pt idx="7">
                  <c:v>4.3361170098353465</c:v>
                </c:pt>
                <c:pt idx="8">
                  <c:v>4.5368035381511298</c:v>
                </c:pt>
                <c:pt idx="10">
                  <c:v>4.7465821212367842</c:v>
                </c:pt>
                <c:pt idx="11">
                  <c:v>4.7140424921486934</c:v>
                </c:pt>
                <c:pt idx="12">
                  <c:v>4.769117603714637</c:v>
                </c:pt>
                <c:pt idx="13">
                  <c:v>4.7282216041244984</c:v>
                </c:pt>
                <c:pt idx="14">
                  <c:v>4.8309513582859456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1B-4506-A330-9DD92D7A0FB5}"/>
            </c:ext>
          </c:extLst>
        </c:ser>
        <c:ser>
          <c:idx val="3"/>
          <c:order val="3"/>
          <c:tx>
            <c:v>Fe(total) (Oxic)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'[3]Pure Solutions'!$B$24:$B$38</c:f>
              <c:numCache>
                <c:formatCode>General</c:formatCode>
                <c:ptCount val="1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2.9666666666666668</c:v>
                </c:pt>
                <c:pt idx="6">
                  <c:v>4</c:v>
                </c:pt>
                <c:pt idx="7">
                  <c:v>5.0166666666666666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numCache>
            </c:numRef>
          </c:xVal>
          <c:yVal>
            <c:numRef>
              <c:f>'[3]Pure Solutions'!$J$24:$J$38</c:f>
              <c:numCache>
                <c:formatCode>General</c:formatCode>
                <c:ptCount val="15"/>
                <c:pt idx="0">
                  <c:v>0.88669337792713598</c:v>
                </c:pt>
                <c:pt idx="1">
                  <c:v>1.5230206852886523</c:v>
                </c:pt>
                <c:pt idx="2">
                  <c:v>2.1581722291103937</c:v>
                </c:pt>
                <c:pt idx="3">
                  <c:v>2.6690346150913666</c:v>
                </c:pt>
                <c:pt idx="4">
                  <c:v>3.1247842064583069</c:v>
                </c:pt>
                <c:pt idx="5">
                  <c:v>3.4871086323842508</c:v>
                </c:pt>
                <c:pt idx="6">
                  <c:v>3.778085276948683</c:v>
                </c:pt>
                <c:pt idx="7">
                  <c:v>4.1100635164316079</c:v>
                </c:pt>
                <c:pt idx="8">
                  <c:v>4.3580809745269944</c:v>
                </c:pt>
                <c:pt idx="10">
                  <c:v>4.6162568895843306</c:v>
                </c:pt>
                <c:pt idx="11">
                  <c:v>4.5905304617867193</c:v>
                </c:pt>
                <c:pt idx="12">
                  <c:v>4.6590081063705773</c:v>
                </c:pt>
                <c:pt idx="13">
                  <c:v>4.6254341779478798</c:v>
                </c:pt>
                <c:pt idx="14">
                  <c:v>4.7007555060768222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1B-4506-A330-9DD92D7A0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379775"/>
        <c:axId val="476381471"/>
      </c:scatterChart>
      <c:valAx>
        <c:axId val="476379775"/>
        <c:scaling>
          <c:orientation val="minMax"/>
        </c:scaling>
        <c:delete val="0"/>
        <c:axPos val="b"/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81471"/>
        <c:crosses val="autoZero"/>
        <c:crossBetween val="midCat"/>
      </c:valAx>
      <c:valAx>
        <c:axId val="476381471"/>
        <c:scaling>
          <c:orientation val="minMax"/>
          <c:max val="1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6379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564784737904752"/>
          <c:y val="0.50008696856323354"/>
          <c:w val="0.24128094500622282"/>
          <c:h val="0.2733463964185126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49212</xdr:colOff>
      <xdr:row>3</xdr:row>
      <xdr:rowOff>19050</xdr:rowOff>
    </xdr:from>
    <xdr:to>
      <xdr:col>24</xdr:col>
      <xdr:colOff>266700</xdr:colOff>
      <xdr:row>19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AF524A-C346-4119-82FE-6E65E6F7B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40</xdr:row>
      <xdr:rowOff>0</xdr:rowOff>
    </xdr:from>
    <xdr:to>
      <xdr:col>25</xdr:col>
      <xdr:colOff>220663</xdr:colOff>
      <xdr:row>56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198D7D-16FC-45FB-A7C0-8E9C9EAF3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73</xdr:row>
      <xdr:rowOff>0</xdr:rowOff>
    </xdr:from>
    <xdr:to>
      <xdr:col>26</xdr:col>
      <xdr:colOff>217488</xdr:colOff>
      <xdr:row>89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FFC565-5567-472F-BA65-F1B209161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666750</xdr:colOff>
      <xdr:row>27</xdr:row>
      <xdr:rowOff>133350</xdr:rowOff>
    </xdr:from>
    <xdr:to>
      <xdr:col>27</xdr:col>
      <xdr:colOff>390525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1F82C-08FF-4C47-8975-6F000009F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1</xdr:row>
      <xdr:rowOff>85725</xdr:rowOff>
    </xdr:from>
    <xdr:to>
      <xdr:col>10</xdr:col>
      <xdr:colOff>1438275</xdr:colOff>
      <xdr:row>8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2D80A2C-656B-4189-B4C7-F0B2C95766E1}"/>
            </a:ext>
          </a:extLst>
        </xdr:cNvPr>
        <xdr:cNvSpPr txBox="1"/>
      </xdr:nvSpPr>
      <xdr:spPr>
        <a:xfrm>
          <a:off x="6721475" y="320675"/>
          <a:ext cx="699135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NOTES:</a:t>
          </a:r>
        </a:p>
        <a:p>
          <a:endParaRPr lang="en-GB" sz="1100" b="1"/>
        </a:p>
      </xdr:txBody>
    </xdr:sp>
    <xdr:clientData/>
  </xdr:twoCellAnchor>
  <xdr:twoCellAnchor>
    <xdr:from>
      <xdr:col>6</xdr:col>
      <xdr:colOff>396875</xdr:colOff>
      <xdr:row>24</xdr:row>
      <xdr:rowOff>130175</xdr:rowOff>
    </xdr:from>
    <xdr:to>
      <xdr:col>10</xdr:col>
      <xdr:colOff>1273175</xdr:colOff>
      <xdr:row>32</xdr:row>
      <xdr:rowOff>6350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A50ECC4-10CC-46E9-A138-D7AB4AC0EA81}"/>
            </a:ext>
          </a:extLst>
        </xdr:cNvPr>
        <xdr:cNvSpPr txBox="1"/>
      </xdr:nvSpPr>
      <xdr:spPr>
        <a:xfrm>
          <a:off x="6556375" y="4791075"/>
          <a:ext cx="6991350" cy="142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NOTES:</a:t>
          </a:r>
        </a:p>
        <a:p>
          <a:endParaRPr lang="en-GB" sz="1100" b="1"/>
        </a:p>
      </xdr:txBody>
    </xdr:sp>
    <xdr:clientData/>
  </xdr:twoCellAnchor>
  <xdr:twoCellAnchor>
    <xdr:from>
      <xdr:col>21</xdr:col>
      <xdr:colOff>647700</xdr:colOff>
      <xdr:row>3</xdr:row>
      <xdr:rowOff>152400</xdr:rowOff>
    </xdr:from>
    <xdr:to>
      <xdr:col>27</xdr:col>
      <xdr:colOff>371475</xdr:colOff>
      <xdr:row>19</xdr:row>
      <xdr:rowOff>15875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60B3D3-1FB1-430D-A0D9-B952D12D5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774700</xdr:colOff>
      <xdr:row>1</xdr:row>
      <xdr:rowOff>139700</xdr:rowOff>
    </xdr:from>
    <xdr:to>
      <xdr:col>17</xdr:col>
      <xdr:colOff>203200</xdr:colOff>
      <xdr:row>18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5AE2E5-7BDA-47AB-B137-DBA5F8740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798285</xdr:colOff>
      <xdr:row>21</xdr:row>
      <xdr:rowOff>18142</xdr:rowOff>
    </xdr:from>
    <xdr:to>
      <xdr:col>26</xdr:col>
      <xdr:colOff>240742</xdr:colOff>
      <xdr:row>37</xdr:row>
      <xdr:rowOff>96296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A354F-1D1D-4943-95BA-FA49BEFE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17</xdr:col>
      <xdr:colOff>258885</xdr:colOff>
      <xdr:row>58</xdr:row>
      <xdr:rowOff>68384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8A98EF-31A6-4FA5-A00B-5E7F19EF5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127000</xdr:colOff>
      <xdr:row>21</xdr:row>
      <xdr:rowOff>1</xdr:rowOff>
    </xdr:from>
    <xdr:to>
      <xdr:col>33</xdr:col>
      <xdr:colOff>385885</xdr:colOff>
      <xdr:row>37</xdr:row>
      <xdr:rowOff>78155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48C477-90CC-43BE-BF9C-417F37E37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742950</xdr:colOff>
      <xdr:row>60</xdr:row>
      <xdr:rowOff>133350</xdr:rowOff>
    </xdr:from>
    <xdr:to>
      <xdr:col>17</xdr:col>
      <xdr:colOff>196850</xdr:colOff>
      <xdr:row>77</xdr:row>
      <xdr:rowOff>52614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C691D62-D48B-4970-AAEC-C2FDAF300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36286</xdr:colOff>
      <xdr:row>81</xdr:row>
      <xdr:rowOff>18143</xdr:rowOff>
    </xdr:from>
    <xdr:to>
      <xdr:col>39</xdr:col>
      <xdr:colOff>302985</xdr:colOff>
      <xdr:row>97</xdr:row>
      <xdr:rowOff>134257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A340D90-9CFC-49F7-BB3C-F700A304B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122</xdr:row>
      <xdr:rowOff>0</xdr:rowOff>
    </xdr:from>
    <xdr:to>
      <xdr:col>17</xdr:col>
      <xdr:colOff>266700</xdr:colOff>
      <xdr:row>138</xdr:row>
      <xdr:rowOff>116114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8D452A-6D3F-4639-A6A2-0A470CE80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368300</xdr:colOff>
      <xdr:row>122</xdr:row>
      <xdr:rowOff>0</xdr:rowOff>
    </xdr:from>
    <xdr:to>
      <xdr:col>24</xdr:col>
      <xdr:colOff>635000</xdr:colOff>
      <xdr:row>138</xdr:row>
      <xdr:rowOff>116114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0776A29-99FD-439B-B857-DE2D4EC0F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144</xdr:row>
      <xdr:rowOff>0</xdr:rowOff>
    </xdr:from>
    <xdr:to>
      <xdr:col>17</xdr:col>
      <xdr:colOff>266700</xdr:colOff>
      <xdr:row>160</xdr:row>
      <xdr:rowOff>116114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5F52987-5927-453B-A443-6EBEB6CBD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101</xdr:row>
      <xdr:rowOff>0</xdr:rowOff>
    </xdr:from>
    <xdr:to>
      <xdr:col>17</xdr:col>
      <xdr:colOff>266700</xdr:colOff>
      <xdr:row>117</xdr:row>
      <xdr:rowOff>116114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5325A3-5E6C-43B3-ABEA-81484A1D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165</xdr:row>
      <xdr:rowOff>0</xdr:rowOff>
    </xdr:from>
    <xdr:to>
      <xdr:col>17</xdr:col>
      <xdr:colOff>266700</xdr:colOff>
      <xdr:row>181</xdr:row>
      <xdr:rowOff>116114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7EE031C-1D40-4998-B2C5-C08A558E1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399143</xdr:colOff>
      <xdr:row>81</xdr:row>
      <xdr:rowOff>36285</xdr:rowOff>
    </xdr:from>
    <xdr:to>
      <xdr:col>31</xdr:col>
      <xdr:colOff>665844</xdr:colOff>
      <xdr:row>97</xdr:row>
      <xdr:rowOff>152399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F538D5E-6456-47CE-A819-BC7901991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0</xdr:colOff>
      <xdr:row>61</xdr:row>
      <xdr:rowOff>0</xdr:rowOff>
    </xdr:from>
    <xdr:to>
      <xdr:col>24</xdr:col>
      <xdr:colOff>265595</xdr:colOff>
      <xdr:row>77</xdr:row>
      <xdr:rowOff>118046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D93D074-6FA5-4A76-AC76-1EC31EBB0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707571</xdr:colOff>
      <xdr:row>164</xdr:row>
      <xdr:rowOff>181428</xdr:rowOff>
    </xdr:from>
    <xdr:to>
      <xdr:col>25</xdr:col>
      <xdr:colOff>393699</xdr:colOff>
      <xdr:row>181</xdr:row>
      <xdr:rowOff>97970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DF188F9-47EB-4439-9F49-24D973196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0.19485</cdr:x>
      <cdr:y>0.33547</cdr:y>
    </cdr:from>
    <cdr:to>
      <cdr:x>0.36835</cdr:x>
      <cdr:y>0.68333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7123B891-B40B-1145-8637-B76DF547A273}"/>
            </a:ext>
          </a:extLst>
        </cdr:cNvPr>
        <cdr:cNvSpPr/>
      </cdr:nvSpPr>
      <cdr:spPr>
        <a:xfrm xmlns:a="http://schemas.openxmlformats.org/drawingml/2006/main">
          <a:off x="998416" y="1071684"/>
          <a:ext cx="889000" cy="11112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0.24156</cdr:x>
      <cdr:y>0.01437</cdr:y>
    </cdr:from>
    <cdr:to>
      <cdr:x>0.4919</cdr:x>
      <cdr:y>0.29664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46AA0830-E8EB-5943-86A7-0B5BED162796}"/>
            </a:ext>
          </a:extLst>
        </cdr:cNvPr>
        <cdr:cNvSpPr txBox="1"/>
      </cdr:nvSpPr>
      <cdr:spPr>
        <a:xfrm xmlns:a="http://schemas.openxmlformats.org/drawingml/2006/main">
          <a:off x="1237762" y="45915"/>
          <a:ext cx="1282700" cy="901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Coincides</a:t>
          </a:r>
          <a:r>
            <a:rPr lang="en-US" sz="1100" baseline="0"/>
            <a:t> with colour changes and Fe-hydroxide precipitation</a:t>
          </a:r>
          <a:endParaRPr lang="en-US" sz="1100"/>
        </a:p>
      </cdr:txBody>
    </cdr:sp>
  </cdr:relSizeAnchor>
  <cdr:relSizeAnchor xmlns:cdr="http://schemas.openxmlformats.org/drawingml/2006/chartDrawing">
    <cdr:from>
      <cdr:x>0.33403</cdr:x>
      <cdr:y>0.29511</cdr:y>
    </cdr:from>
    <cdr:to>
      <cdr:x>0.36511</cdr:x>
      <cdr:y>0.37232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9047F27-40AD-EE44-88FF-FA06CA9DD6B5}"/>
            </a:ext>
          </a:extLst>
        </cdr:cNvPr>
        <cdr:cNvCxnSpPr/>
      </cdr:nvCxnSpPr>
      <cdr:spPr>
        <a:xfrm xmlns:a="http://schemas.openxmlformats.org/drawingml/2006/main" flipH="1">
          <a:off x="1711570" y="942731"/>
          <a:ext cx="159239" cy="2466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711200</xdr:colOff>
      <xdr:row>16</xdr:row>
      <xdr:rowOff>57150</xdr:rowOff>
    </xdr:from>
    <xdr:to>
      <xdr:col>25</xdr:col>
      <xdr:colOff>419100</xdr:colOff>
      <xdr:row>32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E31869-FB8D-42A2-9955-4A9D910C2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42</xdr:row>
      <xdr:rowOff>0</xdr:rowOff>
    </xdr:from>
    <xdr:to>
      <xdr:col>25</xdr:col>
      <xdr:colOff>533400</xdr:colOff>
      <xdr:row>59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C1ABA92-895F-4D23-A4EA-1D120B673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iderite%20Precipitation/Batch-exp-preliminary-CP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iderite%20Precipitation/FT-test-exp-CP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iderite%20Dissolution/Flow%20through%20oxic/Summary_Sid_FT_ox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iderite%20Dissolution/Flow%20through%20anoxic/Siderite_Function%20of%20SI/Sid-diss_pH7_x1_CPH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rimental Data"/>
      <sheetName val="Graph_data"/>
      <sheetName val="UV-Vis Measurements"/>
    </sheetNames>
    <sheetDataSet>
      <sheetData sheetId="0">
        <row r="11">
          <cell r="D11">
            <v>2.85</v>
          </cell>
          <cell r="P11">
            <v>7.6421255358394928</v>
          </cell>
        </row>
        <row r="12">
          <cell r="D12">
            <v>23.950000000000003</v>
          </cell>
          <cell r="P12">
            <v>9.0199629746963925</v>
          </cell>
        </row>
        <row r="13">
          <cell r="D13">
            <v>27.950000000000003</v>
          </cell>
          <cell r="P13">
            <v>9.6104647342064933</v>
          </cell>
        </row>
        <row r="14">
          <cell r="D14">
            <v>50.95</v>
          </cell>
          <cell r="P14">
            <v>9.0986965426310746</v>
          </cell>
        </row>
        <row r="15">
          <cell r="D15">
            <v>73.533333333333331</v>
          </cell>
          <cell r="P15">
            <v>9.8072986540431941</v>
          </cell>
        </row>
        <row r="16">
          <cell r="D16">
            <v>97.2</v>
          </cell>
          <cell r="P16">
            <v>9.8860322219778745</v>
          </cell>
        </row>
        <row r="26">
          <cell r="D26">
            <v>0</v>
          </cell>
          <cell r="P26">
            <v>7.9176930236108731</v>
          </cell>
        </row>
        <row r="27">
          <cell r="D27">
            <v>2.85</v>
          </cell>
          <cell r="P27">
            <v>9.2167968945330934</v>
          </cell>
        </row>
        <row r="28">
          <cell r="D28">
            <v>23.950000000000003</v>
          </cell>
          <cell r="P28">
            <v>7.5633919679048125</v>
          </cell>
        </row>
        <row r="29">
          <cell r="D29">
            <v>27.950000000000003</v>
          </cell>
          <cell r="P29">
            <v>9.4923643823044728</v>
          </cell>
        </row>
        <row r="30">
          <cell r="D30">
            <v>50.95</v>
          </cell>
          <cell r="P30">
            <v>9.2561636785004335</v>
          </cell>
        </row>
        <row r="31">
          <cell r="D31">
            <v>73.533333333333331</v>
          </cell>
          <cell r="P31">
            <v>9.8466654380105343</v>
          </cell>
        </row>
        <row r="32">
          <cell r="D32">
            <v>97.2</v>
          </cell>
          <cell r="P32">
            <v>9.2955304624677737</v>
          </cell>
        </row>
        <row r="42">
          <cell r="D42">
            <v>0</v>
          </cell>
        </row>
        <row r="43">
          <cell r="D43">
            <v>2.7666666666666666</v>
          </cell>
        </row>
        <row r="44">
          <cell r="D44">
            <v>23.866666666666667</v>
          </cell>
          <cell r="P44">
            <v>17.771204604713748</v>
          </cell>
        </row>
        <row r="45">
          <cell r="D45">
            <v>27.866666666666667</v>
          </cell>
          <cell r="P45">
            <v>17.63960706973721</v>
          </cell>
        </row>
        <row r="46">
          <cell r="D46">
            <v>50.866666666666667</v>
          </cell>
          <cell r="P46">
            <v>18.911716574510397</v>
          </cell>
        </row>
        <row r="47">
          <cell r="D47">
            <v>73.45</v>
          </cell>
          <cell r="P47">
            <v>16.718424324901456</v>
          </cell>
        </row>
        <row r="48">
          <cell r="D48">
            <v>97.116666666666674</v>
          </cell>
          <cell r="P48">
            <v>10.621071870988589</v>
          </cell>
        </row>
        <row r="58">
          <cell r="D58">
            <v>0</v>
          </cell>
          <cell r="P58">
            <v>10.006950041098087</v>
          </cell>
        </row>
        <row r="59">
          <cell r="D59">
            <v>2.7666666666666666</v>
          </cell>
          <cell r="P59">
            <v>6.8486092016612083</v>
          </cell>
        </row>
        <row r="60">
          <cell r="D60">
            <v>23.866666666666667</v>
          </cell>
          <cell r="P60">
            <v>9.8753525061215495</v>
          </cell>
        </row>
        <row r="61">
          <cell r="D61">
            <v>27.866666666666667</v>
          </cell>
        </row>
        <row r="62">
          <cell r="D62">
            <v>50.866666666666667</v>
          </cell>
          <cell r="P62">
            <v>9.2173648312388679</v>
          </cell>
        </row>
        <row r="63">
          <cell r="D63">
            <v>73.45</v>
          </cell>
          <cell r="P63">
            <v>9.8753525061215495</v>
          </cell>
        </row>
        <row r="64">
          <cell r="D64">
            <v>97.116666666666674</v>
          </cell>
          <cell r="P64">
            <v>10.489474336012055</v>
          </cell>
        </row>
        <row r="74">
          <cell r="D74">
            <v>0</v>
          </cell>
          <cell r="P74">
            <v>29.239951438821826</v>
          </cell>
        </row>
        <row r="75">
          <cell r="D75">
            <v>2.5833333333333335</v>
          </cell>
          <cell r="P75">
            <v>22.607435676004382</v>
          </cell>
        </row>
        <row r="76">
          <cell r="D76">
            <v>23.683333333333334</v>
          </cell>
          <cell r="P76">
            <v>19.966711807475214</v>
          </cell>
        </row>
        <row r="77">
          <cell r="D77">
            <v>27.683333333333334</v>
          </cell>
        </row>
        <row r="78">
          <cell r="D78">
            <v>50.683333333333337</v>
          </cell>
          <cell r="P78">
            <v>24.9410986295883</v>
          </cell>
        </row>
        <row r="79">
          <cell r="D79">
            <v>73.266666666666666</v>
          </cell>
          <cell r="P79">
            <v>3.9381320473330543</v>
          </cell>
        </row>
        <row r="80">
          <cell r="D80">
            <v>96.933333333333337</v>
          </cell>
          <cell r="P80">
            <v>4.9821391581469117</v>
          </cell>
        </row>
        <row r="90">
          <cell r="D90">
            <v>0</v>
          </cell>
          <cell r="P90">
            <v>31.082316928493348</v>
          </cell>
        </row>
        <row r="91">
          <cell r="D91">
            <v>2.5833333333333335</v>
          </cell>
          <cell r="P91">
            <v>23.774267152796345</v>
          </cell>
        </row>
        <row r="92">
          <cell r="D92">
            <v>23.683333333333334</v>
          </cell>
          <cell r="P92">
            <v>25.985105740402155</v>
          </cell>
        </row>
        <row r="93">
          <cell r="D93">
            <v>27.683333333333334</v>
          </cell>
        </row>
        <row r="94">
          <cell r="D94">
            <v>50.683333333333337</v>
          </cell>
          <cell r="P94">
            <v>25.800869191434998</v>
          </cell>
        </row>
        <row r="95">
          <cell r="D95">
            <v>73.266666666666666</v>
          </cell>
          <cell r="P95">
            <v>25.739457008445953</v>
          </cell>
        </row>
        <row r="96">
          <cell r="D96">
            <v>96.933333333333337</v>
          </cell>
          <cell r="P96">
            <v>23.528618420840139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tion chemistry"/>
      <sheetName val="UV-Vis measurements"/>
    </sheetNames>
    <sheetDataSet>
      <sheetData sheetId="0">
        <row r="14">
          <cell r="O14">
            <v>8.6814584304818556</v>
          </cell>
        </row>
        <row r="15">
          <cell r="O15">
            <v>9.2043772181746899</v>
          </cell>
        </row>
        <row r="16">
          <cell r="O16">
            <v>9.9088529581198923</v>
          </cell>
        </row>
        <row r="17">
          <cell r="O17">
            <v>13.622431247737829</v>
          </cell>
        </row>
        <row r="18">
          <cell r="O18">
            <v>13.202341789296508</v>
          </cell>
        </row>
        <row r="19">
          <cell r="O19">
            <v>10.115203170648662</v>
          </cell>
        </row>
        <row r="20">
          <cell r="O20">
            <v>8.5324265627598077</v>
          </cell>
        </row>
        <row r="37">
          <cell r="D37">
            <v>8.3333333333333329E-2</v>
          </cell>
          <cell r="O37">
            <v>4.55828256049214</v>
          </cell>
        </row>
        <row r="38">
          <cell r="D38">
            <v>3.0833333333333335</v>
          </cell>
          <cell r="O38">
            <v>5.6710028110231541</v>
          </cell>
        </row>
        <row r="39">
          <cell r="D39">
            <v>6.0833333333333339</v>
          </cell>
          <cell r="O39">
            <v>9.0621495703341797</v>
          </cell>
        </row>
        <row r="40">
          <cell r="D40">
            <v>23.166666666666664</v>
          </cell>
          <cell r="O40">
            <v>18.375971454357693</v>
          </cell>
        </row>
        <row r="41">
          <cell r="D41">
            <v>30.166666666666664</v>
          </cell>
          <cell r="O41">
            <v>18.333185951694801</v>
          </cell>
        </row>
        <row r="42">
          <cell r="D42">
            <v>46</v>
          </cell>
          <cell r="O42">
            <v>20.307487024309083</v>
          </cell>
        </row>
        <row r="43">
          <cell r="D43">
            <v>46.666666666666664</v>
          </cell>
          <cell r="O43">
            <v>20.040882825442019</v>
          </cell>
        </row>
        <row r="44">
          <cell r="D44">
            <v>50.333333333333329</v>
          </cell>
          <cell r="O44">
            <v>23.343421943996745</v>
          </cell>
        </row>
        <row r="45">
          <cell r="D45">
            <v>65.666666666666657</v>
          </cell>
          <cell r="O45">
            <v>21.876506892128305</v>
          </cell>
        </row>
        <row r="46">
          <cell r="D46">
            <v>70.166666666666657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e Solutions"/>
      <sheetName val="Organic Acid"/>
      <sheetName val="Dissolution Rates"/>
    </sheetNames>
    <sheetDataSet>
      <sheetData sheetId="0">
        <row r="5">
          <cell r="B5">
            <v>0.5</v>
          </cell>
          <cell r="D5">
            <v>0.77328632880777504</v>
          </cell>
          <cell r="F5">
            <v>0.81463853890444748</v>
          </cell>
          <cell r="H5">
            <v>0.8956496670372166</v>
          </cell>
          <cell r="J5">
            <v>0.9495857211031522</v>
          </cell>
        </row>
        <row r="6">
          <cell r="B6">
            <v>1</v>
          </cell>
          <cell r="D6">
            <v>1.724409260351117</v>
          </cell>
          <cell r="F6">
            <v>1.7600332839931012</v>
          </cell>
          <cell r="H6">
            <v>1.8768128128747423</v>
          </cell>
          <cell r="J6">
            <v>1.9123604615402259</v>
          </cell>
        </row>
        <row r="7">
          <cell r="B7">
            <v>1.5</v>
          </cell>
          <cell r="D7">
            <v>2.9803072893855389</v>
          </cell>
          <cell r="F7">
            <v>3.0329139769536595</v>
          </cell>
          <cell r="H7">
            <v>2.8535003899415554</v>
          </cell>
          <cell r="J7">
            <v>2.9066583823749035</v>
          </cell>
        </row>
        <row r="8">
          <cell r="B8">
            <v>2</v>
          </cell>
          <cell r="D8">
            <v>3.3106588794812701</v>
          </cell>
          <cell r="F8">
            <v>3.3421447216465898</v>
          </cell>
          <cell r="H8">
            <v>3.3187827588056211</v>
          </cell>
          <cell r="J8">
            <v>3.355864130412388</v>
          </cell>
        </row>
        <row r="9">
          <cell r="B9">
            <v>2.5</v>
          </cell>
          <cell r="D9">
            <v>4.1605804743299233</v>
          </cell>
          <cell r="F9">
            <v>4.191021229288439</v>
          </cell>
          <cell r="H9">
            <v>3.9997223145244378</v>
          </cell>
          <cell r="J9">
            <v>4.0316870971360022</v>
          </cell>
        </row>
        <row r="10">
          <cell r="B10">
            <v>2.9833333333333334</v>
          </cell>
          <cell r="D10">
            <v>4.376562192289394</v>
          </cell>
          <cell r="F10">
            <v>4.4055529047057886</v>
          </cell>
          <cell r="H10">
            <v>4.2474151693091482</v>
          </cell>
          <cell r="J10">
            <v>4.2654826864367408</v>
          </cell>
        </row>
        <row r="11">
          <cell r="B11">
            <v>4</v>
          </cell>
          <cell r="D11">
            <v>5.115026459776165</v>
          </cell>
          <cell r="F11">
            <v>5.1606917056380199</v>
          </cell>
          <cell r="H11">
            <v>4.7352110963619287</v>
          </cell>
          <cell r="J11">
            <v>4.7584128057844355</v>
          </cell>
        </row>
        <row r="12">
          <cell r="B12">
            <v>5</v>
          </cell>
          <cell r="D12">
            <v>5.3042809476603772</v>
          </cell>
          <cell r="F12">
            <v>5.3032471762809861</v>
          </cell>
          <cell r="H12">
            <v>4.8082104642877868</v>
          </cell>
          <cell r="J12">
            <v>4.8004793937588639</v>
          </cell>
        </row>
        <row r="13">
          <cell r="B13">
            <v>6</v>
          </cell>
          <cell r="D13">
            <v>5.7792075691907172</v>
          </cell>
          <cell r="F13">
            <v>5.810723004710173</v>
          </cell>
          <cell r="H13">
            <v>5.0567585213556088</v>
          </cell>
          <cell r="J13">
            <v>5.0768107412166037</v>
          </cell>
        </row>
        <row r="14">
          <cell r="B14">
            <v>7</v>
          </cell>
          <cell r="D14">
            <v>5.659657317988402</v>
          </cell>
          <cell r="F14">
            <v>5.6787516300851992</v>
          </cell>
          <cell r="H14">
            <v>4.9348281390158739</v>
          </cell>
          <cell r="J14">
            <v>4.9785082797860873</v>
          </cell>
        </row>
        <row r="15">
          <cell r="B15">
            <v>8</v>
          </cell>
          <cell r="D15">
            <v>6.0350997406534592</v>
          </cell>
          <cell r="F15">
            <v>6.0588092451431743</v>
          </cell>
          <cell r="H15">
            <v>5.1721955046296779</v>
          </cell>
          <cell r="J15">
            <v>5.2030589288243849</v>
          </cell>
        </row>
        <row r="16">
          <cell r="B16">
            <v>9</v>
          </cell>
          <cell r="D16">
            <v>5.8952827049342291</v>
          </cell>
          <cell r="F16">
            <v>5.9040401154536166</v>
          </cell>
          <cell r="H16">
            <v>5.0688026863383246</v>
          </cell>
          <cell r="J16">
            <v>5.0718793495773768</v>
          </cell>
        </row>
        <row r="17">
          <cell r="B17">
            <v>10</v>
          </cell>
          <cell r="H17">
            <v>5.3418361906286229</v>
          </cell>
          <cell r="J17">
            <v>5.3686097310539411</v>
          </cell>
        </row>
        <row r="24">
          <cell r="B24">
            <v>0.5</v>
          </cell>
          <cell r="H24">
            <v>0.76706014439728432</v>
          </cell>
          <cell r="J24">
            <v>0.88669337792713598</v>
          </cell>
          <cell r="M24">
            <v>0.5</v>
          </cell>
          <cell r="O24">
            <v>1.1182285082444972</v>
          </cell>
          <cell r="Q24">
            <v>1.3740159172033588</v>
          </cell>
        </row>
        <row r="25">
          <cell r="B25">
            <v>1</v>
          </cell>
          <cell r="H25">
            <v>1.4609972184669426</v>
          </cell>
          <cell r="J25">
            <v>1.5230206852886523</v>
          </cell>
          <cell r="M25">
            <v>1</v>
          </cell>
          <cell r="O25">
            <v>2.0358623607679669</v>
          </cell>
          <cell r="Q25">
            <v>2.2782068226262857</v>
          </cell>
        </row>
        <row r="26">
          <cell r="B26">
            <v>1.5</v>
          </cell>
          <cell r="H26">
            <v>2.0619479895959172</v>
          </cell>
          <cell r="J26">
            <v>2.1581722291103937</v>
          </cell>
          <cell r="M26">
            <v>1.5</v>
          </cell>
          <cell r="O26">
            <v>3.5460508218395228</v>
          </cell>
          <cell r="Q26">
            <v>3.8689541928583466</v>
          </cell>
        </row>
        <row r="27">
          <cell r="B27">
            <v>2</v>
          </cell>
          <cell r="H27">
            <v>2.5864871527689535</v>
          </cell>
          <cell r="J27">
            <v>2.6690346150913666</v>
          </cell>
          <cell r="M27">
            <v>2</v>
          </cell>
          <cell r="O27">
            <v>4.3996543719262755</v>
          </cell>
          <cell r="Q27">
            <v>4.6170152280556582</v>
          </cell>
        </row>
        <row r="28">
          <cell r="B28">
            <v>2.5</v>
          </cell>
          <cell r="H28">
            <v>3.0149016849125201</v>
          </cell>
          <cell r="J28">
            <v>3.1247842064583069</v>
          </cell>
          <cell r="M28">
            <v>2.5</v>
          </cell>
          <cell r="O28">
            <v>4.8258794479900002</v>
          </cell>
          <cell r="Q28">
            <v>5.1135146468768218</v>
          </cell>
        </row>
        <row r="29">
          <cell r="B29">
            <v>2.9666666666666668</v>
          </cell>
          <cell r="H29">
            <v>3.3569415125113617</v>
          </cell>
          <cell r="J29">
            <v>3.4871086323842508</v>
          </cell>
          <cell r="M29">
            <v>3</v>
          </cell>
          <cell r="O29">
            <v>5.3402011808260275</v>
          </cell>
          <cell r="Q29">
            <v>5.5224921445257671</v>
          </cell>
        </row>
        <row r="30">
          <cell r="B30">
            <v>4</v>
          </cell>
          <cell r="H30">
            <v>3.8397962887318733</v>
          </cell>
          <cell r="J30">
            <v>3.778085276948683</v>
          </cell>
          <cell r="M30">
            <v>3.5</v>
          </cell>
          <cell r="O30">
            <v>5.7203221639183868</v>
          </cell>
          <cell r="Q30">
            <v>5.9548376574398905</v>
          </cell>
        </row>
        <row r="31">
          <cell r="B31">
            <v>5.0166666666666666</v>
          </cell>
          <cell r="H31">
            <v>4.3361170098353465</v>
          </cell>
          <cell r="J31">
            <v>4.1100635164316079</v>
          </cell>
          <cell r="M31">
            <v>4.5</v>
          </cell>
          <cell r="O31">
            <v>6.0546635656427945</v>
          </cell>
          <cell r="Q31">
            <v>6.2257992804611586</v>
          </cell>
        </row>
        <row r="32">
          <cell r="B32">
            <v>6</v>
          </cell>
          <cell r="H32">
            <v>4.5368035381511298</v>
          </cell>
          <cell r="J32">
            <v>4.3580809745269944</v>
          </cell>
          <cell r="M32">
            <v>5.5</v>
          </cell>
          <cell r="O32">
            <v>6.7667088154043649</v>
          </cell>
          <cell r="Q32">
            <v>7.0082235082950834</v>
          </cell>
        </row>
        <row r="33">
          <cell r="B33">
            <v>7</v>
          </cell>
          <cell r="M33">
            <v>6.5</v>
          </cell>
          <cell r="O33">
            <v>6.2709739020925337</v>
          </cell>
          <cell r="Q33">
            <v>6.4258233258686257</v>
          </cell>
        </row>
        <row r="34">
          <cell r="B34">
            <v>8</v>
          </cell>
          <cell r="H34">
            <v>4.7465821212367842</v>
          </cell>
          <cell r="J34">
            <v>4.6162568895843306</v>
          </cell>
          <cell r="M34">
            <v>7.5</v>
          </cell>
          <cell r="O34">
            <v>6.2930394174932589</v>
          </cell>
          <cell r="Q34">
            <v>6.4522701795193438</v>
          </cell>
        </row>
        <row r="35">
          <cell r="B35">
            <v>9</v>
          </cell>
          <cell r="H35">
            <v>4.7140424921486934</v>
          </cell>
          <cell r="J35">
            <v>4.5905304617867193</v>
          </cell>
          <cell r="M35">
            <v>8.9499999999999993</v>
          </cell>
          <cell r="O35">
            <v>6.3027091185546826</v>
          </cell>
          <cell r="Q35">
            <v>6.4657175737535919</v>
          </cell>
        </row>
        <row r="36">
          <cell r="B36">
            <v>10</v>
          </cell>
          <cell r="H36">
            <v>4.769117603714637</v>
          </cell>
          <cell r="J36">
            <v>4.6590081063705773</v>
          </cell>
          <cell r="M36">
            <v>9.9499999999999993</v>
          </cell>
          <cell r="O36">
            <v>6.4486478207522833</v>
          </cell>
          <cell r="Q36">
            <v>6.5961220952393429</v>
          </cell>
        </row>
        <row r="37">
          <cell r="B37">
            <v>11</v>
          </cell>
          <cell r="H37">
            <v>4.7282216041244984</v>
          </cell>
          <cell r="J37">
            <v>4.6254341779478798</v>
          </cell>
          <cell r="M37">
            <v>10.95</v>
          </cell>
          <cell r="O37">
            <v>6.32899329791094</v>
          </cell>
          <cell r="Q37">
            <v>6.5335087710174244</v>
          </cell>
        </row>
        <row r="38">
          <cell r="B38">
            <v>12</v>
          </cell>
          <cell r="H38">
            <v>4.8309513582859456</v>
          </cell>
          <cell r="J38">
            <v>4.7007555060768222</v>
          </cell>
          <cell r="M38">
            <v>11.95</v>
          </cell>
          <cell r="O38">
            <v>6.4984566443226175</v>
          </cell>
          <cell r="Q38">
            <v>6.5973313781554381</v>
          </cell>
        </row>
        <row r="45">
          <cell r="B45">
            <v>1</v>
          </cell>
          <cell r="D45">
            <v>0.37815056507575689</v>
          </cell>
          <cell r="F45">
            <v>5.9716536758434267E-2</v>
          </cell>
          <cell r="H45">
            <v>0.94401258185676029</v>
          </cell>
          <cell r="J45">
            <v>0.97573530894278893</v>
          </cell>
        </row>
        <row r="46">
          <cell r="B46">
            <v>2.0333333333333332</v>
          </cell>
          <cell r="D46">
            <v>0.37815056507575689</v>
          </cell>
          <cell r="F46">
            <v>0.39845164181776749</v>
          </cell>
          <cell r="H46">
            <v>1.7502777017076547</v>
          </cell>
          <cell r="J46">
            <v>1.7742683972614548</v>
          </cell>
        </row>
        <row r="47">
          <cell r="B47">
            <v>3</v>
          </cell>
          <cell r="D47">
            <v>1.8895409061415753</v>
          </cell>
          <cell r="F47">
            <v>1.9190378716185328</v>
          </cell>
          <cell r="H47">
            <v>1.4229250535693039</v>
          </cell>
          <cell r="J47">
            <v>1.4649494449488218</v>
          </cell>
        </row>
        <row r="48">
          <cell r="B48">
            <v>4</v>
          </cell>
          <cell r="D48">
            <v>1.640208109830505</v>
          </cell>
          <cell r="F48">
            <v>1.6610670514561583</v>
          </cell>
          <cell r="H48">
            <v>1.2628964671654999</v>
          </cell>
          <cell r="J48">
            <v>1.2935628272953463</v>
          </cell>
        </row>
        <row r="49">
          <cell r="B49">
            <v>5</v>
          </cell>
          <cell r="D49">
            <v>1.5546091675527274</v>
          </cell>
          <cell r="F49">
            <v>1.5829124428056855</v>
          </cell>
          <cell r="H49">
            <v>1.1840199880996736</v>
          </cell>
          <cell r="J49">
            <v>1.2160676017816889</v>
          </cell>
        </row>
        <row r="50">
          <cell r="B50">
            <v>7.083333333333333</v>
          </cell>
          <cell r="D50">
            <v>1.48992156443158</v>
          </cell>
          <cell r="F50">
            <v>1.5004908826942771</v>
          </cell>
          <cell r="H50">
            <v>1.4591773575111624</v>
          </cell>
          <cell r="J50">
            <v>1.4799682958751306</v>
          </cell>
        </row>
        <row r="51">
          <cell r="B51">
            <v>9.0166666666666675</v>
          </cell>
          <cell r="D51">
            <v>2.0278178055147684</v>
          </cell>
          <cell r="F51">
            <v>2.0534425523740736</v>
          </cell>
          <cell r="H51">
            <v>1.9744394840923083</v>
          </cell>
          <cell r="J51">
            <v>2.0082613805161929</v>
          </cell>
        </row>
        <row r="52">
          <cell r="B52">
            <v>11</v>
          </cell>
          <cell r="D52">
            <v>2.2234734989265403</v>
          </cell>
          <cell r="F52">
            <v>2.2756101189013695</v>
          </cell>
          <cell r="H52">
            <v>2.1347053306001671</v>
          </cell>
          <cell r="J52">
            <v>2.1874055434069279</v>
          </cell>
        </row>
        <row r="53">
          <cell r="B53">
            <v>13</v>
          </cell>
          <cell r="D53">
            <v>2.4471775034208467</v>
          </cell>
          <cell r="F53">
            <v>2.4721380899410761</v>
          </cell>
          <cell r="H53">
            <v>2.2133744698301321</v>
          </cell>
          <cell r="J53">
            <v>2.2361820756082409</v>
          </cell>
        </row>
        <row r="54">
          <cell r="B54">
            <v>14</v>
          </cell>
          <cell r="D54">
            <v>2.4409129680506338</v>
          </cell>
          <cell r="F54">
            <v>2.4724421490431974</v>
          </cell>
          <cell r="H54">
            <v>2.9261033604471556</v>
          </cell>
          <cell r="J54">
            <v>2.9526980203567907</v>
          </cell>
        </row>
        <row r="55">
          <cell r="B55">
            <v>23.616666666666667</v>
          </cell>
          <cell r="D55">
            <v>2.7087401204593999</v>
          </cell>
          <cell r="F55">
            <v>2.7232530793902958</v>
          </cell>
          <cell r="H55">
            <v>3.2915742002543649</v>
          </cell>
          <cell r="J55">
            <v>3.3067316324690372</v>
          </cell>
        </row>
        <row r="56">
          <cell r="B56">
            <v>24.616666666666667</v>
          </cell>
          <cell r="D56">
            <v>2.665770250078717</v>
          </cell>
          <cell r="F56">
            <v>2.7265532850967982</v>
          </cell>
          <cell r="H56">
            <v>3.2828280146438402</v>
          </cell>
          <cell r="J56">
            <v>3.3003336847344764</v>
          </cell>
        </row>
        <row r="57">
          <cell r="B57">
            <v>25.616666666666667</v>
          </cell>
          <cell r="D57">
            <v>2.782079555832063</v>
          </cell>
          <cell r="F57">
            <v>2.7893934855607148</v>
          </cell>
          <cell r="H57">
            <v>3.3784038550066344</v>
          </cell>
          <cell r="J57">
            <v>3.3811847204084309</v>
          </cell>
        </row>
      </sheetData>
      <sheetData sheetId="1">
        <row r="5">
          <cell r="B5">
            <v>0.33333333333333331</v>
          </cell>
          <cell r="D5">
            <v>3.9191170848733949</v>
          </cell>
          <cell r="F5">
            <v>10.065491966614729</v>
          </cell>
          <cell r="H5">
            <v>2.2781629557807661</v>
          </cell>
          <cell r="J5">
            <v>7.8228908778903836</v>
          </cell>
        </row>
        <row r="6">
          <cell r="B6">
            <v>1.0166666666666666</v>
          </cell>
          <cell r="D6">
            <v>13.973809608378772</v>
          </cell>
          <cell r="F6">
            <v>24.292444046405301</v>
          </cell>
          <cell r="H6">
            <v>6.5469514353075962</v>
          </cell>
          <cell r="J6">
            <v>16.251142255569228</v>
          </cell>
        </row>
        <row r="7">
          <cell r="B7">
            <v>1.5</v>
          </cell>
          <cell r="D7">
            <v>16.292367161559039</v>
          </cell>
          <cell r="F7">
            <v>27.715528812721647</v>
          </cell>
          <cell r="H7">
            <v>8.7649258346535746</v>
          </cell>
          <cell r="J7">
            <v>19.060726115745233</v>
          </cell>
        </row>
        <row r="8">
          <cell r="B8">
            <v>2.0166666666666666</v>
          </cell>
          <cell r="D8">
            <v>17.324789706042662</v>
          </cell>
          <cell r="F8">
            <v>29.130146827271297</v>
          </cell>
          <cell r="H8">
            <v>10.450201702030919</v>
          </cell>
          <cell r="J8">
            <v>20.927927475180638</v>
          </cell>
        </row>
        <row r="9">
          <cell r="B9">
            <v>2.5</v>
          </cell>
          <cell r="D9">
            <v>16.457595116116941</v>
          </cell>
          <cell r="F9">
            <v>28.376021392922123</v>
          </cell>
          <cell r="H9">
            <v>10.736277385197424</v>
          </cell>
          <cell r="J9">
            <v>21.111913483938888</v>
          </cell>
        </row>
        <row r="10">
          <cell r="B10">
            <v>3</v>
          </cell>
          <cell r="D10">
            <v>15.840853841772143</v>
          </cell>
          <cell r="F10">
            <v>27.411965439361534</v>
          </cell>
          <cell r="H10">
            <v>10.893250709886061</v>
          </cell>
          <cell r="J10">
            <v>21.757648766066172</v>
          </cell>
        </row>
        <row r="11">
          <cell r="B11">
            <v>4</v>
          </cell>
          <cell r="D11">
            <v>16.491983585439115</v>
          </cell>
          <cell r="F11">
            <v>27.631117550867746</v>
          </cell>
          <cell r="H11">
            <v>11.099591596849406</v>
          </cell>
          <cell r="J11">
            <v>21.959772144008497</v>
          </cell>
        </row>
        <row r="12">
          <cell r="B12">
            <v>5</v>
          </cell>
          <cell r="D12">
            <v>15.556128438309685</v>
          </cell>
          <cell r="F12">
            <v>25.649789056425515</v>
          </cell>
          <cell r="H12">
            <v>10.61937770926734</v>
          </cell>
          <cell r="J12">
            <v>21.013634002666482</v>
          </cell>
        </row>
        <row r="13">
          <cell r="B13">
            <v>6</v>
          </cell>
          <cell r="D13">
            <v>15.113764279599073</v>
          </cell>
          <cell r="F13">
            <v>24.256266868381385</v>
          </cell>
          <cell r="H13">
            <v>10.340470106918524</v>
          </cell>
          <cell r="J13">
            <v>20.190008200128766</v>
          </cell>
        </row>
        <row r="14">
          <cell r="B14">
            <v>7</v>
          </cell>
          <cell r="D14">
            <v>15.30288847888345</v>
          </cell>
          <cell r="F14">
            <v>23.366603573720123</v>
          </cell>
          <cell r="H14">
            <v>10.894919741475663</v>
          </cell>
          <cell r="J14">
            <v>19.730794557690743</v>
          </cell>
        </row>
        <row r="15">
          <cell r="B15">
            <v>8</v>
          </cell>
          <cell r="D15">
            <v>14.755964460519742</v>
          </cell>
          <cell r="F15">
            <v>22.007886536263346</v>
          </cell>
          <cell r="H15">
            <v>11.429395344857879</v>
          </cell>
          <cell r="J15">
            <v>18.782164347221961</v>
          </cell>
        </row>
        <row r="16">
          <cell r="B16">
            <v>9</v>
          </cell>
          <cell r="D16">
            <v>15.813889455425128</v>
          </cell>
          <cell r="F16">
            <v>21.33719829954352</v>
          </cell>
          <cell r="H16">
            <v>12.231699044393594</v>
          </cell>
          <cell r="J16">
            <v>18.541664345481529</v>
          </cell>
        </row>
        <row r="17">
          <cell r="B17">
            <v>10</v>
          </cell>
          <cell r="D17">
            <v>16.771406686772178</v>
          </cell>
          <cell r="F17">
            <v>21.15087970556862</v>
          </cell>
          <cell r="H17">
            <v>13.291683941341947</v>
          </cell>
          <cell r="J17">
            <v>18.389910986333749</v>
          </cell>
        </row>
        <row r="18">
          <cell r="B18">
            <v>10.833333333333334</v>
          </cell>
          <cell r="D18">
            <v>16.375373968085466</v>
          </cell>
          <cell r="F18">
            <v>20.810060816573596</v>
          </cell>
          <cell r="H18">
            <v>13.35954224608572</v>
          </cell>
          <cell r="J18">
            <v>17.745868044723434</v>
          </cell>
        </row>
        <row r="25">
          <cell r="B25">
            <v>0.5</v>
          </cell>
          <cell r="D25">
            <v>1.6031935863344857</v>
          </cell>
          <cell r="F25">
            <v>10.371428046338218</v>
          </cell>
          <cell r="H25">
            <v>0.85043502664438975</v>
          </cell>
          <cell r="J25">
            <v>8.2459714479491968</v>
          </cell>
          <cell r="M25">
            <v>0.5</v>
          </cell>
          <cell r="O25">
            <v>7.0100563479950457</v>
          </cell>
          <cell r="Q25">
            <v>12.46285699099189</v>
          </cell>
        </row>
        <row r="26">
          <cell r="B26">
            <v>1</v>
          </cell>
          <cell r="D26">
            <v>2.6011750276088645</v>
          </cell>
          <cell r="F26">
            <v>14.166870516814773</v>
          </cell>
          <cell r="H26">
            <v>1.3916418721720407</v>
          </cell>
          <cell r="J26">
            <v>12.759697037843868</v>
          </cell>
          <cell r="M26">
            <v>1</v>
          </cell>
          <cell r="O26">
            <v>12.536445897799904</v>
          </cell>
          <cell r="Q26">
            <v>20.68234530624704</v>
          </cell>
        </row>
        <row r="27">
          <cell r="B27">
            <v>1.5</v>
          </cell>
          <cell r="D27">
            <v>4.1041715132588976</v>
          </cell>
          <cell r="F27">
            <v>17.978600998461282</v>
          </cell>
          <cell r="H27">
            <v>2.436513170944663</v>
          </cell>
          <cell r="J27">
            <v>16.081023813316346</v>
          </cell>
          <cell r="M27">
            <v>1.5</v>
          </cell>
          <cell r="O27">
            <v>15.768377473374343</v>
          </cell>
          <cell r="Q27">
            <v>26.096490090403488</v>
          </cell>
        </row>
        <row r="28">
          <cell r="B28">
            <v>2</v>
          </cell>
          <cell r="D28">
            <v>4.5677266102848382</v>
          </cell>
          <cell r="F28">
            <v>19.483950576329626</v>
          </cell>
          <cell r="H28">
            <v>3.2087531299427399</v>
          </cell>
          <cell r="J28">
            <v>17.717079420353603</v>
          </cell>
          <cell r="M28">
            <v>2</v>
          </cell>
          <cell r="O28">
            <v>17.53717558254143</v>
          </cell>
          <cell r="Q28">
            <v>26.4114731844113</v>
          </cell>
        </row>
        <row r="29">
          <cell r="B29">
            <v>2.5</v>
          </cell>
          <cell r="D29">
            <v>5.1041015155615206</v>
          </cell>
          <cell r="F29">
            <v>20.910724532178182</v>
          </cell>
          <cell r="H29">
            <v>3.6657896754399659</v>
          </cell>
          <cell r="J29">
            <v>19.21922691840324</v>
          </cell>
          <cell r="M29">
            <v>2.5</v>
          </cell>
          <cell r="O29">
            <v>16.535152233813694</v>
          </cell>
          <cell r="Q29">
            <v>25.43308054355186</v>
          </cell>
        </row>
        <row r="30">
          <cell r="B30">
            <v>3</v>
          </cell>
          <cell r="D30">
            <v>5.1057955086172653</v>
          </cell>
          <cell r="F30">
            <v>20.705153264455525</v>
          </cell>
          <cell r="H30">
            <v>3.985774367563478</v>
          </cell>
          <cell r="J30">
            <v>19.526883359208519</v>
          </cell>
          <cell r="M30">
            <v>3</v>
          </cell>
          <cell r="O30">
            <v>15.728110813989005</v>
          </cell>
          <cell r="Q30">
            <v>23.876483322202162</v>
          </cell>
        </row>
        <row r="31">
          <cell r="B31">
            <v>4</v>
          </cell>
          <cell r="D31">
            <v>5.1023063831062476</v>
          </cell>
          <cell r="F31">
            <v>21.02949646019713</v>
          </cell>
          <cell r="H31">
            <v>4.472253814216911</v>
          </cell>
          <cell r="J31">
            <v>19.935241600875763</v>
          </cell>
          <cell r="M31">
            <v>4</v>
          </cell>
          <cell r="O31">
            <v>12.069141955317034</v>
          </cell>
          <cell r="Q31">
            <v>21.875453099455914</v>
          </cell>
        </row>
        <row r="32">
          <cell r="B32">
            <v>5</v>
          </cell>
          <cell r="D32">
            <v>4.9398825509659403</v>
          </cell>
          <cell r="F32">
            <v>20.205905586925628</v>
          </cell>
          <cell r="H32">
            <v>4.2338176121446969</v>
          </cell>
          <cell r="J32">
            <v>18.724724639255534</v>
          </cell>
          <cell r="M32">
            <v>5</v>
          </cell>
          <cell r="O32">
            <v>11.190646894326195</v>
          </cell>
          <cell r="Q32">
            <v>18.500381599334446</v>
          </cell>
        </row>
        <row r="33">
          <cell r="B33">
            <v>6</v>
          </cell>
          <cell r="D33">
            <v>4.7424429928665539</v>
          </cell>
          <cell r="F33">
            <v>19.718540303913667</v>
          </cell>
          <cell r="H33">
            <v>4.1625438726980644</v>
          </cell>
          <cell r="J33">
            <v>18.765845803309869</v>
          </cell>
          <cell r="M33">
            <v>6</v>
          </cell>
          <cell r="O33">
            <v>10.524340124861732</v>
          </cell>
          <cell r="Q33">
            <v>16.84608576897709</v>
          </cell>
        </row>
        <row r="34">
          <cell r="B34">
            <v>7</v>
          </cell>
          <cell r="D34">
            <v>4.7167270544146369</v>
          </cell>
          <cell r="F34">
            <v>19.089586574546846</v>
          </cell>
          <cell r="H34">
            <v>3.953016980120386</v>
          </cell>
          <cell r="J34">
            <v>17.614808709574159</v>
          </cell>
          <cell r="M34">
            <v>7</v>
          </cell>
          <cell r="O34">
            <v>10.434563692662334</v>
          </cell>
          <cell r="Q34">
            <v>16.638299228041834</v>
          </cell>
        </row>
        <row r="35">
          <cell r="B35">
            <v>8</v>
          </cell>
          <cell r="D35">
            <v>4.6997912106937658</v>
          </cell>
          <cell r="F35">
            <v>18.711208125437722</v>
          </cell>
          <cell r="H35">
            <v>3.9514905225295975</v>
          </cell>
          <cell r="J35">
            <v>17.108588189267124</v>
          </cell>
          <cell r="M35">
            <v>8</v>
          </cell>
        </row>
        <row r="36">
          <cell r="B36">
            <v>9</v>
          </cell>
          <cell r="D36">
            <v>4.8541920333437387</v>
          </cell>
          <cell r="F36">
            <v>17.927324328670455</v>
          </cell>
          <cell r="H36">
            <v>3.8588441020881081</v>
          </cell>
          <cell r="J36">
            <v>16.01739417105075</v>
          </cell>
          <cell r="M36">
            <v>9</v>
          </cell>
        </row>
        <row r="37">
          <cell r="B37">
            <v>10</v>
          </cell>
          <cell r="D37">
            <v>5.2671595032500411</v>
          </cell>
          <cell r="F37">
            <v>17.314242043143928</v>
          </cell>
          <cell r="H37">
            <v>4.3590307915591513</v>
          </cell>
          <cell r="J37">
            <v>15.668194717455451</v>
          </cell>
          <cell r="M37">
            <v>10</v>
          </cell>
          <cell r="O37">
            <v>11.742018539921249</v>
          </cell>
          <cell r="Q37">
            <v>16.134849404463338</v>
          </cell>
        </row>
        <row r="38">
          <cell r="B38">
            <v>11</v>
          </cell>
          <cell r="D38">
            <v>5.5053192318763111</v>
          </cell>
          <cell r="F38">
            <v>16.679628180675515</v>
          </cell>
          <cell r="H38">
            <v>4.6220280495973824</v>
          </cell>
          <cell r="J38">
            <v>15.001694818542537</v>
          </cell>
        </row>
        <row r="45">
          <cell r="B45">
            <v>0.5</v>
          </cell>
          <cell r="D45">
            <v>0.64054120247951807</v>
          </cell>
          <cell r="F45">
            <v>1.1413531145693356</v>
          </cell>
          <cell r="H45">
            <v>0.97955881782974541</v>
          </cell>
          <cell r="J45">
            <v>1.6660697048024748</v>
          </cell>
        </row>
        <row r="46">
          <cell r="B46">
            <v>1</v>
          </cell>
          <cell r="D46">
            <v>1.961067257060455</v>
          </cell>
          <cell r="F46">
            <v>3.1459647365896153</v>
          </cell>
          <cell r="H46">
            <v>2.2930455233051776</v>
          </cell>
          <cell r="J46">
            <v>3.6050245637351757</v>
          </cell>
        </row>
        <row r="47">
          <cell r="B47">
            <v>1.5</v>
          </cell>
          <cell r="D47">
            <v>3.1006588524994125</v>
          </cell>
          <cell r="F47">
            <v>4.6768788837299091</v>
          </cell>
          <cell r="H47">
            <v>3.3645384354132268</v>
          </cell>
          <cell r="J47">
            <v>5.2861450721037624</v>
          </cell>
        </row>
        <row r="48">
          <cell r="B48">
            <v>2</v>
          </cell>
          <cell r="D48">
            <v>3.6886427758617955</v>
          </cell>
          <cell r="F48">
            <v>5.4835657823590687</v>
          </cell>
          <cell r="H48">
            <v>3.7160768868783136</v>
          </cell>
          <cell r="J48">
            <v>5.7651865432336704</v>
          </cell>
        </row>
        <row r="49">
          <cell r="B49">
            <v>2.5</v>
          </cell>
          <cell r="D49">
            <v>4.2578374576375051</v>
          </cell>
          <cell r="F49">
            <v>6.2112464957324791</v>
          </cell>
          <cell r="H49">
            <v>4.2670289219233286</v>
          </cell>
          <cell r="J49">
            <v>6.3930093029265409</v>
          </cell>
        </row>
        <row r="50">
          <cell r="B50">
            <v>3</v>
          </cell>
          <cell r="D50">
            <v>4.6495236688589143</v>
          </cell>
          <cell r="F50">
            <v>6.5510693435322169</v>
          </cell>
          <cell r="H50">
            <v>4.6667570944387187</v>
          </cell>
          <cell r="J50">
            <v>6.6744599623335779</v>
          </cell>
        </row>
        <row r="51">
          <cell r="B51">
            <v>4</v>
          </cell>
          <cell r="D51">
            <v>5.2774736593235971</v>
          </cell>
          <cell r="F51">
            <v>7.1562128087723913</v>
          </cell>
          <cell r="H51">
            <v>5.2068155570714794</v>
          </cell>
          <cell r="J51">
            <v>7.1165794285477233</v>
          </cell>
        </row>
        <row r="52">
          <cell r="B52">
            <v>5</v>
          </cell>
          <cell r="D52">
            <v>5.4965465448957129</v>
          </cell>
          <cell r="F52">
            <v>7.1763699941324823</v>
          </cell>
          <cell r="H52">
            <v>5.4226225910561379</v>
          </cell>
          <cell r="J52">
            <v>7.2347343002686006</v>
          </cell>
        </row>
        <row r="53">
          <cell r="B53">
            <v>6</v>
          </cell>
          <cell r="D53">
            <v>5.6969014262299789</v>
          </cell>
          <cell r="F53">
            <v>7.363177904834564</v>
          </cell>
          <cell r="H53">
            <v>5.7811848602844638</v>
          </cell>
          <cell r="J53">
            <v>7.4837166518579537</v>
          </cell>
        </row>
        <row r="54">
          <cell r="B54">
            <v>7</v>
          </cell>
          <cell r="D54">
            <v>5.7964247964895375</v>
          </cell>
          <cell r="F54">
            <v>7.3856890310905445</v>
          </cell>
          <cell r="H54">
            <v>6.0208107198464988</v>
          </cell>
          <cell r="J54">
            <v>7.6269563877136974</v>
          </cell>
        </row>
        <row r="55">
          <cell r="B55">
            <v>8</v>
          </cell>
          <cell r="D55">
            <v>6.0097833307104764</v>
          </cell>
          <cell r="F55">
            <v>7.6008924421477158</v>
          </cell>
          <cell r="H55">
            <v>6.3531099139719975</v>
          </cell>
          <cell r="J55">
            <v>7.9339984568839945</v>
          </cell>
        </row>
        <row r="56">
          <cell r="B56">
            <v>9</v>
          </cell>
          <cell r="D56">
            <v>6.2452913411153377</v>
          </cell>
          <cell r="F56">
            <v>7.6645187773634849</v>
          </cell>
          <cell r="H56">
            <v>6.4942679260806715</v>
          </cell>
          <cell r="J56">
            <v>7.9459116505923042</v>
          </cell>
        </row>
        <row r="57">
          <cell r="B57">
            <v>10</v>
          </cell>
          <cell r="D57">
            <v>6.5717886808751276</v>
          </cell>
          <cell r="F57">
            <v>7.9879455171661444</v>
          </cell>
          <cell r="H57">
            <v>6.6337673979341965</v>
          </cell>
          <cell r="J57">
            <v>8.1085470921856846</v>
          </cell>
        </row>
        <row r="58">
          <cell r="B58">
            <v>11</v>
          </cell>
          <cell r="D58">
            <v>7.0146859234607462</v>
          </cell>
          <cell r="F58">
            <v>8.262335644275753</v>
          </cell>
          <cell r="H58">
            <v>6.9308201930906357</v>
          </cell>
          <cell r="J58">
            <v>8.2566983180022682</v>
          </cell>
        </row>
        <row r="59">
          <cell r="B59">
            <v>11.666666666666666</v>
          </cell>
          <cell r="D59">
            <v>7.61136724445368</v>
          </cell>
          <cell r="F59">
            <v>8.5576975693059509</v>
          </cell>
          <cell r="H59">
            <v>7.369563675218191</v>
          </cell>
          <cell r="J59">
            <v>8.1949052450469413</v>
          </cell>
        </row>
        <row r="66">
          <cell r="B66">
            <v>0.5</v>
          </cell>
          <cell r="D66">
            <v>1.3124369386978991</v>
          </cell>
          <cell r="F66">
            <v>1.9036166670655785</v>
          </cell>
          <cell r="H66">
            <v>0.87952085902546406</v>
          </cell>
          <cell r="J66">
            <v>1.526277896961181</v>
          </cell>
        </row>
        <row r="67">
          <cell r="B67">
            <v>1</v>
          </cell>
          <cell r="D67">
            <v>1.9473179287083804</v>
          </cell>
          <cell r="F67">
            <v>2.669676519564248</v>
          </cell>
          <cell r="H67">
            <v>1.1323604190818297</v>
          </cell>
          <cell r="J67">
            <v>2.0140035677586803</v>
          </cell>
        </row>
        <row r="68">
          <cell r="B68">
            <v>1.5</v>
          </cell>
          <cell r="D68">
            <v>2.3894900514306228</v>
          </cell>
          <cell r="F68">
            <v>3.4215346581795107</v>
          </cell>
          <cell r="H68">
            <v>1.3907787293870577</v>
          </cell>
          <cell r="J68">
            <v>2.5762586105494854</v>
          </cell>
        </row>
        <row r="69">
          <cell r="B69">
            <v>2</v>
          </cell>
          <cell r="D69">
            <v>2.9638862833809596</v>
          </cell>
          <cell r="F69">
            <v>3.9705545325049747</v>
          </cell>
          <cell r="H69">
            <v>1.7795734546246509</v>
          </cell>
          <cell r="J69">
            <v>2.9444101749237857</v>
          </cell>
        </row>
        <row r="70">
          <cell r="B70">
            <v>2.5</v>
          </cell>
          <cell r="D70">
            <v>3.1663522868477245</v>
          </cell>
          <cell r="F70">
            <v>4.4286236530486551</v>
          </cell>
          <cell r="H70">
            <v>1.7855757550623155</v>
          </cell>
          <cell r="J70">
            <v>3.1485219365403672</v>
          </cell>
        </row>
        <row r="71">
          <cell r="B71">
            <v>3.0166666666666666</v>
          </cell>
          <cell r="D71">
            <v>3.559191092063978</v>
          </cell>
          <cell r="F71">
            <v>4.7428177852605797</v>
          </cell>
          <cell r="H71">
            <v>1.922587522293872</v>
          </cell>
          <cell r="J71">
            <v>3.2273717153718287</v>
          </cell>
        </row>
        <row r="72">
          <cell r="B72">
            <v>4.0166666666666666</v>
          </cell>
          <cell r="D72">
            <v>3.7907193347867008</v>
          </cell>
          <cell r="F72">
            <v>5.1931340251173426</v>
          </cell>
          <cell r="H72">
            <v>1.9571005774122818</v>
          </cell>
          <cell r="J72">
            <v>3.394421712989812</v>
          </cell>
        </row>
        <row r="73">
          <cell r="B73">
            <v>5</v>
          </cell>
          <cell r="D73">
            <v>4.0076974021794376</v>
          </cell>
          <cell r="F73">
            <v>5.274478575217139</v>
          </cell>
          <cell r="H73">
            <v>2.0885820543853493</v>
          </cell>
          <cell r="J73">
            <v>3.3868713888775814</v>
          </cell>
        </row>
        <row r="74">
          <cell r="B74">
            <v>6.0166666666666666</v>
          </cell>
          <cell r="D74">
            <v>3.9534676476833615</v>
          </cell>
          <cell r="F74">
            <v>5.3984142944685569</v>
          </cell>
          <cell r="H74">
            <v>2.09602180785217</v>
          </cell>
          <cell r="J74">
            <v>3.4591209574030923</v>
          </cell>
        </row>
        <row r="75">
          <cell r="B75">
            <v>7.0333333333333332</v>
          </cell>
          <cell r="D75">
            <v>4.1194649402895864</v>
          </cell>
          <cell r="F75">
            <v>5.3768697765545959</v>
          </cell>
          <cell r="H75">
            <v>2.2416743657753986</v>
          </cell>
          <cell r="J75">
            <v>3.4353556574222002</v>
          </cell>
        </row>
        <row r="76">
          <cell r="B76">
            <v>8</v>
          </cell>
          <cell r="D76">
            <v>4.0924133765803168</v>
          </cell>
          <cell r="F76">
            <v>5.399374512627177</v>
          </cell>
          <cell r="H76">
            <v>2.6424707782136858</v>
          </cell>
          <cell r="J76">
            <v>3.7533227313994697</v>
          </cell>
        </row>
        <row r="77">
          <cell r="B77">
            <v>9</v>
          </cell>
          <cell r="D77">
            <v>4.272887970386078</v>
          </cell>
          <cell r="F77">
            <v>5.3064296604264269</v>
          </cell>
          <cell r="H77">
            <v>2.8370977885564237</v>
          </cell>
          <cell r="J77">
            <v>3.7596865685757388</v>
          </cell>
        </row>
        <row r="78">
          <cell r="B78">
            <v>10</v>
          </cell>
          <cell r="D78">
            <v>4.2528264767441506</v>
          </cell>
          <cell r="F78">
            <v>5.3379548818927862</v>
          </cell>
          <cell r="H78">
            <v>2.820722487753295</v>
          </cell>
          <cell r="J78">
            <v>3.7139171841412129</v>
          </cell>
        </row>
        <row r="79">
          <cell r="B79">
            <v>11.016666666666667</v>
          </cell>
          <cell r="D79">
            <v>4.3801636324289852</v>
          </cell>
          <cell r="F79">
            <v>5.2660316409483832</v>
          </cell>
          <cell r="H79">
            <v>2.8555462677257473</v>
          </cell>
          <cell r="J79">
            <v>3.6121498384228277</v>
          </cell>
        </row>
        <row r="80">
          <cell r="B80">
            <v>11.966666666666667</v>
          </cell>
          <cell r="D80">
            <v>4.3371182493111355</v>
          </cell>
          <cell r="F80">
            <v>5.2499063689759833</v>
          </cell>
          <cell r="H80">
            <v>2.806372196656203</v>
          </cell>
          <cell r="J80">
            <v>3.5650736509465379</v>
          </cell>
        </row>
        <row r="87">
          <cell r="B87">
            <v>0.5</v>
          </cell>
          <cell r="D87">
            <v>1.8124888708191031</v>
          </cell>
          <cell r="F87">
            <v>2.0468030214192914</v>
          </cell>
          <cell r="H87">
            <v>2.0563547141215115</v>
          </cell>
          <cell r="J87">
            <v>2.2859174157654309</v>
          </cell>
        </row>
        <row r="88">
          <cell r="B88">
            <v>1</v>
          </cell>
          <cell r="D88">
            <v>4.4908324164642091</v>
          </cell>
          <cell r="F88">
            <v>4.7409775333201853</v>
          </cell>
          <cell r="H88">
            <v>4.6477484657855896</v>
          </cell>
          <cell r="J88">
            <v>4.8879707242280936</v>
          </cell>
        </row>
        <row r="89">
          <cell r="B89">
            <v>1.5</v>
          </cell>
          <cell r="D89">
            <v>6.6875282680162709</v>
          </cell>
          <cell r="F89">
            <v>6.94997287438387</v>
          </cell>
          <cell r="H89">
            <v>6.9535299245458226</v>
          </cell>
          <cell r="J89">
            <v>7.1911283201504874</v>
          </cell>
        </row>
        <row r="90">
          <cell r="B90">
            <v>2</v>
          </cell>
          <cell r="D90">
            <v>8.1432069728513294</v>
          </cell>
          <cell r="F90">
            <v>8.3891818406051062</v>
          </cell>
          <cell r="H90">
            <v>8.514369342073504</v>
          </cell>
          <cell r="J90">
            <v>8.731313440774942</v>
          </cell>
        </row>
        <row r="91">
          <cell r="B91">
            <v>2.5</v>
          </cell>
          <cell r="D91">
            <v>9.3580828628419628</v>
          </cell>
          <cell r="F91">
            <v>9.6347171235127789</v>
          </cell>
          <cell r="H91">
            <v>9.9144426305770867</v>
          </cell>
          <cell r="J91">
            <v>10.181546874866473</v>
          </cell>
        </row>
        <row r="92">
          <cell r="B92">
            <v>3</v>
          </cell>
          <cell r="D92">
            <v>10.265518526525867</v>
          </cell>
          <cell r="F92">
            <v>10.504795180727543</v>
          </cell>
          <cell r="H92">
            <v>11.002887515604456</v>
          </cell>
          <cell r="J92">
            <v>11.220542139158068</v>
          </cell>
        </row>
        <row r="93">
          <cell r="B93">
            <v>4</v>
          </cell>
          <cell r="D93">
            <v>12.03653657620201</v>
          </cell>
          <cell r="F93">
            <v>12.255882772592097</v>
          </cell>
          <cell r="H93">
            <v>12.747730339710733</v>
          </cell>
          <cell r="J93">
            <v>12.946634988291175</v>
          </cell>
        </row>
        <row r="94">
          <cell r="B94">
            <v>5</v>
          </cell>
          <cell r="D94">
            <v>14.270367423945178</v>
          </cell>
          <cell r="F94">
            <v>14.46695915104508</v>
          </cell>
          <cell r="H94">
            <v>13.117636335755842</v>
          </cell>
          <cell r="J94">
            <v>13.396486555783952</v>
          </cell>
        </row>
        <row r="95">
          <cell r="B95">
            <v>6</v>
          </cell>
          <cell r="D95">
            <v>14.41769854408799</v>
          </cell>
          <cell r="F95">
            <v>14.59164598002763</v>
          </cell>
          <cell r="H95">
            <v>15.828101166395266</v>
          </cell>
          <cell r="J95">
            <v>15.997256446036133</v>
          </cell>
        </row>
        <row r="96">
          <cell r="B96">
            <v>7</v>
          </cell>
          <cell r="D96">
            <v>14.520725949109835</v>
          </cell>
          <cell r="F96">
            <v>15.506747987536492</v>
          </cell>
          <cell r="H96">
            <v>15.829009936700389</v>
          </cell>
          <cell r="J96">
            <v>16.80974507373093</v>
          </cell>
        </row>
        <row r="97">
          <cell r="B97">
            <v>8</v>
          </cell>
          <cell r="D97">
            <v>15.43934681552982</v>
          </cell>
          <cell r="F97">
            <v>16.434077246159347</v>
          </cell>
          <cell r="H97">
            <v>17.042537130913949</v>
          </cell>
          <cell r="J97">
            <v>17.98591428691261</v>
          </cell>
        </row>
        <row r="98">
          <cell r="B98">
            <v>9</v>
          </cell>
          <cell r="D98">
            <v>15.977769305800324</v>
          </cell>
          <cell r="F98">
            <v>16.898055803052188</v>
          </cell>
          <cell r="H98">
            <v>17.751204469872423</v>
          </cell>
          <cell r="J98">
            <v>18.665712470408877</v>
          </cell>
        </row>
        <row r="99">
          <cell r="B99">
            <v>10</v>
          </cell>
          <cell r="D99">
            <v>16.488980035233894</v>
          </cell>
          <cell r="F99">
            <v>17.440782389522933</v>
          </cell>
          <cell r="H99">
            <v>18.564874731614392</v>
          </cell>
          <cell r="J99">
            <v>19.539405230612257</v>
          </cell>
        </row>
        <row r="100">
          <cell r="B100">
            <v>11</v>
          </cell>
          <cell r="D100">
            <v>16.975392388663575</v>
          </cell>
          <cell r="F100">
            <v>17.865983451380618</v>
          </cell>
          <cell r="H100">
            <v>22.298661222387025</v>
          </cell>
          <cell r="J100">
            <v>23.271743974630041</v>
          </cell>
        </row>
        <row r="101">
          <cell r="B101">
            <v>11.85</v>
          </cell>
          <cell r="D101">
            <v>18.095057623605864</v>
          </cell>
          <cell r="F101">
            <v>18.685849038885696</v>
          </cell>
          <cell r="H101">
            <v>20.562781959094178</v>
          </cell>
          <cell r="J101">
            <v>21.050439585833473</v>
          </cell>
        </row>
        <row r="108">
          <cell r="B108">
            <v>0.5</v>
          </cell>
          <cell r="D108">
            <v>0.1919756490295729</v>
          </cell>
          <cell r="F108">
            <v>0.35530718394531086</v>
          </cell>
          <cell r="H108">
            <v>0.1955329018646122</v>
          </cell>
          <cell r="J108">
            <v>0.45783711695794949</v>
          </cell>
        </row>
        <row r="109">
          <cell r="B109">
            <v>1</v>
          </cell>
          <cell r="D109">
            <v>0.55546995494571449</v>
          </cell>
          <cell r="F109">
            <v>0.76020904832617919</v>
          </cell>
          <cell r="H109">
            <v>0.65188322122062159</v>
          </cell>
          <cell r="J109">
            <v>0.87751639007124249</v>
          </cell>
        </row>
        <row r="110">
          <cell r="B110">
            <v>1.5</v>
          </cell>
          <cell r="D110">
            <v>1.0409768402430384</v>
          </cell>
          <cell r="F110">
            <v>1.2695049650523316</v>
          </cell>
          <cell r="H110">
            <v>1.0381707287673276</v>
          </cell>
          <cell r="J110">
            <v>1.2697334123651218</v>
          </cell>
        </row>
        <row r="111">
          <cell r="B111">
            <v>2</v>
          </cell>
          <cell r="D111">
            <v>1.3972102679260057</v>
          </cell>
          <cell r="F111">
            <v>1.6129755258644209</v>
          </cell>
          <cell r="H111">
            <v>1.3828320296054335</v>
          </cell>
          <cell r="J111">
            <v>1.6088733797710317</v>
          </cell>
        </row>
        <row r="112">
          <cell r="B112">
            <v>2.5</v>
          </cell>
          <cell r="D112">
            <v>1.7514877836108254</v>
          </cell>
          <cell r="F112">
            <v>1.9715773325199084</v>
          </cell>
          <cell r="H112">
            <v>1.7356193634871682</v>
          </cell>
          <cell r="J112">
            <v>2.0386246655017146</v>
          </cell>
        </row>
        <row r="113">
          <cell r="B113">
            <v>3</v>
          </cell>
          <cell r="D113">
            <v>2.0767198851542794</v>
          </cell>
          <cell r="F113">
            <v>2.2639891444190341</v>
          </cell>
          <cell r="H113">
            <v>2.0658990503243033</v>
          </cell>
          <cell r="J113">
            <v>2.2786647412513297</v>
          </cell>
        </row>
        <row r="114">
          <cell r="B114">
            <v>4</v>
          </cell>
          <cell r="D114">
            <v>2.5914807740374957</v>
          </cell>
          <cell r="F114">
            <v>2.817386228961765</v>
          </cell>
          <cell r="H114">
            <v>2.6220416603221546</v>
          </cell>
          <cell r="J114">
            <v>2.8497400984882737</v>
          </cell>
        </row>
        <row r="115">
          <cell r="B115">
            <v>5</v>
          </cell>
          <cell r="D115">
            <v>2.9219647375660158</v>
          </cell>
          <cell r="F115">
            <v>3.1290637895300613</v>
          </cell>
          <cell r="H115">
            <v>3.0712671508243554</v>
          </cell>
          <cell r="J115">
            <v>3.2820282586157496</v>
          </cell>
        </row>
        <row r="116">
          <cell r="B116">
            <v>6</v>
          </cell>
          <cell r="D116">
            <v>3.270858156043051</v>
          </cell>
          <cell r="F116">
            <v>3.4492730174008632</v>
          </cell>
          <cell r="H116">
            <v>3.3624094877637209</v>
          </cell>
          <cell r="J116">
            <v>3.5495609178438636</v>
          </cell>
        </row>
        <row r="117">
          <cell r="B117">
            <v>7</v>
          </cell>
          <cell r="D117">
            <v>3.4587270851412546</v>
          </cell>
          <cell r="F117">
            <v>3.6267468359223507</v>
          </cell>
          <cell r="H117">
            <v>3.5553079981525189</v>
          </cell>
          <cell r="J117">
            <v>3.7397680352345093</v>
          </cell>
        </row>
        <row r="118">
          <cell r="B118">
            <v>8</v>
          </cell>
          <cell r="D118">
            <v>3.4600265941248631</v>
          </cell>
          <cell r="F118">
            <v>3.631085426623649</v>
          </cell>
          <cell r="H118">
            <v>3.6503690434902012</v>
          </cell>
          <cell r="J118">
            <v>3.8199706542837837</v>
          </cell>
        </row>
        <row r="119">
          <cell r="B119">
            <v>9</v>
          </cell>
          <cell r="D119">
            <v>3.4398140917917384</v>
          </cell>
          <cell r="F119">
            <v>3.6117722478428651</v>
          </cell>
          <cell r="H119">
            <v>3.7663448093392877</v>
          </cell>
          <cell r="J119">
            <v>3.9415191739625346</v>
          </cell>
        </row>
        <row r="120">
          <cell r="B120">
            <v>10</v>
          </cell>
          <cell r="D120">
            <v>3.5158865101100414</v>
          </cell>
          <cell r="F120">
            <v>3.6981841666106536</v>
          </cell>
          <cell r="H120">
            <v>3.9095416325904724</v>
          </cell>
          <cell r="J120">
            <v>4.0650490936633528</v>
          </cell>
        </row>
        <row r="121">
          <cell r="B121">
            <v>11</v>
          </cell>
          <cell r="D121">
            <v>3.8004033419191408</v>
          </cell>
          <cell r="F121">
            <v>3.9509100284679279</v>
          </cell>
          <cell r="H121">
            <v>4.0017607009893146</v>
          </cell>
          <cell r="J121">
            <v>4.1299259905213876</v>
          </cell>
        </row>
        <row r="122">
          <cell r="B122">
            <v>11.65</v>
          </cell>
          <cell r="D122">
            <v>3.8964924494131101</v>
          </cell>
          <cell r="F122">
            <v>3.9863644431778016</v>
          </cell>
          <cell r="H122">
            <v>4.0706271910573522</v>
          </cell>
          <cell r="J122">
            <v>4.1529604350090414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UV-Vis measurements"/>
    </sheetNames>
    <sheetDataSet>
      <sheetData sheetId="0">
        <row r="15">
          <cell r="D15">
            <v>1</v>
          </cell>
          <cell r="L15">
            <v>4.0450504512680403E-2</v>
          </cell>
        </row>
        <row r="16">
          <cell r="D16">
            <v>3</v>
          </cell>
          <cell r="L16">
            <v>1.1801652496474455E-2</v>
          </cell>
        </row>
        <row r="17">
          <cell r="D17">
            <v>5</v>
          </cell>
          <cell r="L17">
            <v>5.1073597831695159E-3</v>
          </cell>
        </row>
        <row r="18">
          <cell r="D18">
            <v>7</v>
          </cell>
          <cell r="L18">
            <v>4.8612241647535033E-3</v>
          </cell>
        </row>
        <row r="19">
          <cell r="D19">
            <v>9</v>
          </cell>
          <cell r="L19">
            <v>5.600865324645112E-3</v>
          </cell>
        </row>
        <row r="20">
          <cell r="D20">
            <v>23.833333333333332</v>
          </cell>
          <cell r="L20">
            <v>3.1322269448749184E-3</v>
          </cell>
        </row>
        <row r="21">
          <cell r="D21">
            <v>25.833333333333332</v>
          </cell>
          <cell r="L21">
            <v>3.6179084509528046E-3</v>
          </cell>
        </row>
        <row r="22">
          <cell r="D22">
            <v>27.833333333333332</v>
          </cell>
          <cell r="L22">
            <v>1.5954413841738468E-2</v>
          </cell>
        </row>
        <row r="23">
          <cell r="D23">
            <v>29.833333333333332</v>
          </cell>
          <cell r="L23">
            <v>5.6215266221747934E-3</v>
          </cell>
        </row>
        <row r="24">
          <cell r="D24">
            <v>31.833333333333332</v>
          </cell>
          <cell r="L24">
            <v>2.0269949397796133E-3</v>
          </cell>
        </row>
        <row r="25">
          <cell r="D25">
            <v>33.833333333333329</v>
          </cell>
        </row>
        <row r="26">
          <cell r="D26">
            <v>48</v>
          </cell>
          <cell r="L26">
            <v>1.6097318243557698E-2</v>
          </cell>
        </row>
        <row r="27">
          <cell r="D27">
            <v>50</v>
          </cell>
        </row>
        <row r="28">
          <cell r="D28">
            <v>52</v>
          </cell>
        </row>
        <row r="46">
          <cell r="D46">
            <v>1</v>
          </cell>
          <cell r="L46">
            <v>3.2115008803838413E-3</v>
          </cell>
        </row>
        <row r="47">
          <cell r="D47">
            <v>3</v>
          </cell>
          <cell r="L47">
            <v>1.7205778079450974E-3</v>
          </cell>
        </row>
        <row r="48">
          <cell r="D48">
            <v>5</v>
          </cell>
          <cell r="L48">
            <v>1.9182228191410259E-3</v>
          </cell>
        </row>
        <row r="49">
          <cell r="D49">
            <v>7</v>
          </cell>
          <cell r="L49">
            <v>2.0453677112864011E-3</v>
          </cell>
        </row>
        <row r="50">
          <cell r="D50">
            <v>9</v>
          </cell>
          <cell r="L50">
            <v>1.0146484127169443E-3</v>
          </cell>
        </row>
        <row r="51">
          <cell r="D51">
            <v>23.833333333333332</v>
          </cell>
          <cell r="L51">
            <v>1.4301098701652316E-2</v>
          </cell>
        </row>
        <row r="52">
          <cell r="D52">
            <v>25.833333333333332</v>
          </cell>
          <cell r="L52">
            <v>2.0044443207548654E-2</v>
          </cell>
        </row>
        <row r="53">
          <cell r="D53">
            <v>27.833333333333332</v>
          </cell>
          <cell r="L53">
            <v>4.0932075894141273E-2</v>
          </cell>
        </row>
        <row r="54">
          <cell r="D54">
            <v>29.833333333333332</v>
          </cell>
          <cell r="L54">
            <v>2.098132013999273E-2</v>
          </cell>
        </row>
        <row r="55">
          <cell r="D55">
            <v>31.833333333333332</v>
          </cell>
          <cell r="L55">
            <v>3.0669475737229508E-2</v>
          </cell>
        </row>
        <row r="56">
          <cell r="D56">
            <v>33.833333333333329</v>
          </cell>
        </row>
        <row r="57">
          <cell r="D57">
            <v>48</v>
          </cell>
          <cell r="L57">
            <v>4.4767858920790791E-2</v>
          </cell>
        </row>
        <row r="58">
          <cell r="D58">
            <v>50</v>
          </cell>
          <cell r="L58">
            <v>3.419918286505208E-2</v>
          </cell>
        </row>
        <row r="59">
          <cell r="D59">
            <v>52</v>
          </cell>
          <cell r="L59">
            <v>0</v>
          </cell>
        </row>
      </sheetData>
      <sheetData sheetId="1">
        <row r="4">
          <cell r="B4">
            <v>0</v>
          </cell>
          <cell r="C4">
            <v>0</v>
          </cell>
        </row>
        <row r="5">
          <cell r="B5">
            <v>9.7754163460527385E-2</v>
          </cell>
          <cell r="C5">
            <v>2.1000000000000001E-2</v>
          </cell>
        </row>
        <row r="6">
          <cell r="B6">
            <v>0.51359798904786735</v>
          </cell>
          <cell r="C6">
            <v>0.129</v>
          </cell>
        </row>
        <row r="7">
          <cell r="B7">
            <v>1.0374456549946645</v>
          </cell>
          <cell r="C7">
            <v>0.20399999999999999</v>
          </cell>
        </row>
        <row r="8">
          <cell r="B8">
            <v>1.4882846563364338</v>
          </cell>
          <cell r="C8">
            <v>0.36499999999999999</v>
          </cell>
        </row>
        <row r="9">
          <cell r="B9">
            <v>1.9824486494461673</v>
          </cell>
          <cell r="C9">
            <v>0.48899999999999999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1366-DFA4-4FE4-A916-711DD79688A3}">
  <dimension ref="A1:P96"/>
  <sheetViews>
    <sheetView workbookViewId="0">
      <selection sqref="A1:XFD1048576"/>
    </sheetView>
  </sheetViews>
  <sheetFormatPr defaultRowHeight="14.5"/>
  <cols>
    <col min="2" max="2" width="10.453125" bestFit="1" customWidth="1"/>
    <col min="4" max="4" width="9.54296875" bestFit="1" customWidth="1"/>
    <col min="5" max="5" width="18.6328125" customWidth="1"/>
    <col min="6" max="6" width="25.7265625" bestFit="1" customWidth="1"/>
    <col min="7" max="7" width="22.08984375" bestFit="1" customWidth="1"/>
    <col min="8" max="8" width="18.6328125" bestFit="1" customWidth="1"/>
    <col min="9" max="9" width="16.36328125" bestFit="1" customWidth="1"/>
    <col min="10" max="10" width="11.81640625" bestFit="1" customWidth="1"/>
    <col min="11" max="11" width="13.453125" bestFit="1" customWidth="1"/>
    <col min="12" max="12" width="18.54296875" bestFit="1" customWidth="1"/>
    <col min="13" max="13" width="23.26953125" bestFit="1" customWidth="1"/>
    <col min="14" max="14" width="13.1796875" bestFit="1" customWidth="1"/>
    <col min="15" max="15" width="15.36328125" bestFit="1" customWidth="1"/>
    <col min="16" max="16" width="19.453125" bestFit="1" customWidth="1"/>
  </cols>
  <sheetData>
    <row r="1" spans="1:16" s="2" customFormat="1" ht="18.5">
      <c r="A1" s="1" t="s">
        <v>0</v>
      </c>
    </row>
    <row r="3" spans="1:16">
      <c r="A3" s="3" t="s">
        <v>1</v>
      </c>
      <c r="B3" s="3"/>
      <c r="C3" s="4"/>
      <c r="D3" s="5"/>
      <c r="F3" s="6" t="s">
        <v>2</v>
      </c>
      <c r="G3">
        <v>0.246</v>
      </c>
    </row>
    <row r="4" spans="1:16">
      <c r="A4" s="3" t="s">
        <v>3</v>
      </c>
      <c r="B4" s="3"/>
      <c r="C4" s="4"/>
      <c r="D4" s="5">
        <f>150-(F10-E10)</f>
        <v>149.01599999999999</v>
      </c>
      <c r="F4" s="6" t="s">
        <v>4</v>
      </c>
      <c r="G4">
        <v>0.31</v>
      </c>
      <c r="H4">
        <f>G4/84.007</f>
        <v>3.6901686764198218E-3</v>
      </c>
    </row>
    <row r="5" spans="1:16">
      <c r="A5" s="3" t="s">
        <v>5</v>
      </c>
      <c r="B5" s="3"/>
      <c r="C5" s="4"/>
      <c r="D5" s="5">
        <v>4.4999999999999998E-2</v>
      </c>
    </row>
    <row r="6" spans="1:16">
      <c r="A6" s="3" t="s">
        <v>6</v>
      </c>
      <c r="B6" s="3"/>
      <c r="C6" s="4"/>
      <c r="D6" s="5"/>
    </row>
    <row r="8" spans="1:16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7" t="s">
        <v>3</v>
      </c>
      <c r="K8" s="7" t="s">
        <v>16</v>
      </c>
      <c r="L8" s="7" t="s">
        <v>17</v>
      </c>
      <c r="M8" s="7" t="s">
        <v>18</v>
      </c>
      <c r="N8" s="7" t="s">
        <v>19</v>
      </c>
      <c r="O8" s="7" t="s">
        <v>20</v>
      </c>
      <c r="P8" s="7" t="s">
        <v>21</v>
      </c>
    </row>
    <row r="9" spans="1:16" ht="15" thickBot="1">
      <c r="A9" s="8"/>
      <c r="B9" s="8"/>
      <c r="C9" s="8"/>
      <c r="D9" s="8" t="s">
        <v>22</v>
      </c>
      <c r="E9" s="8" t="s">
        <v>23</v>
      </c>
      <c r="F9" s="8" t="s">
        <v>23</v>
      </c>
      <c r="G9" s="8"/>
      <c r="H9" s="8" t="s">
        <v>23</v>
      </c>
      <c r="I9" s="8" t="s">
        <v>23</v>
      </c>
      <c r="J9" s="8" t="s">
        <v>23</v>
      </c>
      <c r="K9" s="8"/>
      <c r="L9" s="8"/>
      <c r="M9" s="8"/>
      <c r="N9" s="8" t="s">
        <v>24</v>
      </c>
      <c r="O9" s="8" t="s">
        <v>25</v>
      </c>
      <c r="P9" s="9"/>
    </row>
    <row r="10" spans="1:16" ht="15" thickTop="1">
      <c r="A10">
        <v>1</v>
      </c>
      <c r="B10" s="10">
        <v>43776</v>
      </c>
      <c r="C10" s="11">
        <v>0.53333333333333333</v>
      </c>
      <c r="D10">
        <v>0</v>
      </c>
      <c r="E10">
        <v>2.331</v>
      </c>
      <c r="F10">
        <v>3.3149999999999999</v>
      </c>
      <c r="G10">
        <f>(F10-E10)/(F10-E10+0.0176)</f>
        <v>0.98242811501597438</v>
      </c>
      <c r="H10">
        <v>6.6840999999999999</v>
      </c>
      <c r="I10">
        <v>16.653500000000001</v>
      </c>
      <c r="J10">
        <v>16.7011</v>
      </c>
      <c r="K10">
        <f>(J10-I10)/J10</f>
        <v>2.850111669291196E-3</v>
      </c>
    </row>
    <row r="11" spans="1:16">
      <c r="A11">
        <v>2</v>
      </c>
      <c r="B11" s="10">
        <v>43776</v>
      </c>
      <c r="C11" s="11">
        <v>0.65208333333333335</v>
      </c>
      <c r="D11">
        <f>3-9/60</f>
        <v>2.85</v>
      </c>
      <c r="E11">
        <v>2.234</v>
      </c>
      <c r="F11">
        <v>3.2549999999999999</v>
      </c>
      <c r="G11">
        <f t="shared" ref="G11:G16" si="0">(F11-E11)/(F11-E11+0.0176)</f>
        <v>0.98305411130367792</v>
      </c>
      <c r="H11">
        <v>6.8032000000000004</v>
      </c>
      <c r="I11">
        <v>16.683499999999999</v>
      </c>
      <c r="J11">
        <v>16.8171</v>
      </c>
      <c r="K11">
        <f t="shared" ref="K11:K16" si="1">(J11-I11)/J11</f>
        <v>7.9442947951787919E-3</v>
      </c>
      <c r="L11">
        <f>K11*G11*(0.3/2)</f>
        <v>1.1714507489713382E-3</v>
      </c>
      <c r="M11">
        <f>(0.13/10)*(0.3/2)</f>
        <v>1.9500000000000001E-3</v>
      </c>
      <c r="N11">
        <v>0.83243380824238844</v>
      </c>
      <c r="O11">
        <f>(N11/55.86)/L11</f>
        <v>12.721102281058528</v>
      </c>
      <c r="P11">
        <f t="shared" ref="P11:P16" si="2">(N11/55.86)/M11</f>
        <v>7.6421255358394928</v>
      </c>
    </row>
    <row r="12" spans="1:16">
      <c r="A12">
        <v>3</v>
      </c>
      <c r="B12" s="10">
        <v>43777</v>
      </c>
      <c r="C12" s="11">
        <v>0.53125</v>
      </c>
      <c r="D12">
        <f>D11+24-3+6/60</f>
        <v>23.950000000000003</v>
      </c>
      <c r="E12">
        <v>7.07</v>
      </c>
      <c r="F12">
        <v>7.75</v>
      </c>
      <c r="G12">
        <f t="shared" si="0"/>
        <v>0.97477064220183496</v>
      </c>
      <c r="H12">
        <v>6.8597999999999999</v>
      </c>
      <c r="I12">
        <v>16.7455</v>
      </c>
      <c r="J12">
        <v>16.883500000000002</v>
      </c>
      <c r="K12">
        <f t="shared" si="1"/>
        <v>8.1736606746232506E-3</v>
      </c>
      <c r="L12">
        <f t="shared" ref="L12:L16" si="3">K12*G12*(0.3/2)</f>
        <v>1.1951166697413583E-3</v>
      </c>
      <c r="M12">
        <f t="shared" ref="M12:M16" si="4">(0.13/10)*(0.3/2)</f>
        <v>1.9500000000000001E-3</v>
      </c>
      <c r="N12" s="12">
        <v>0.98251750694475415</v>
      </c>
      <c r="O12">
        <f t="shared" ref="O12:O16" si="5">(N12/55.86)/L12</f>
        <v>14.717331157688967</v>
      </c>
      <c r="P12">
        <f t="shared" si="2"/>
        <v>9.0199629746963925</v>
      </c>
    </row>
    <row r="13" spans="1:16">
      <c r="A13">
        <v>4</v>
      </c>
      <c r="B13" s="10">
        <v>43778</v>
      </c>
      <c r="C13" s="11">
        <v>0.53125</v>
      </c>
      <c r="D13">
        <f>D12+4</f>
        <v>27.950000000000003</v>
      </c>
      <c r="E13">
        <v>6.93</v>
      </c>
      <c r="F13">
        <v>5.5808999999999997</v>
      </c>
      <c r="G13">
        <f t="shared" si="0"/>
        <v>1.0132181749906122</v>
      </c>
      <c r="H13">
        <v>6.8422000000000001</v>
      </c>
      <c r="I13">
        <v>16.6906</v>
      </c>
      <c r="J13">
        <v>16.827200000000001</v>
      </c>
      <c r="K13">
        <f t="shared" si="1"/>
        <v>8.1178092611962401E-3</v>
      </c>
      <c r="L13">
        <f t="shared" si="3"/>
        <v>1.2337667826826716E-3</v>
      </c>
      <c r="M13">
        <f t="shared" si="4"/>
        <v>1.9500000000000001E-3</v>
      </c>
      <c r="N13" s="12">
        <v>1.0468390921029107</v>
      </c>
      <c r="O13">
        <f t="shared" si="5"/>
        <v>15.189585661362994</v>
      </c>
      <c r="P13">
        <f t="shared" si="2"/>
        <v>9.6104647342064933</v>
      </c>
    </row>
    <row r="14" spans="1:16">
      <c r="A14">
        <v>5</v>
      </c>
      <c r="B14" s="10">
        <v>43779</v>
      </c>
      <c r="C14" s="11">
        <v>0.57291666666666663</v>
      </c>
      <c r="D14">
        <f>D13+23</f>
        <v>50.95</v>
      </c>
      <c r="E14">
        <v>6.7910000000000004</v>
      </c>
      <c r="F14">
        <v>5.5427999999999997</v>
      </c>
      <c r="G14">
        <f t="shared" si="0"/>
        <v>1.0143019665203965</v>
      </c>
      <c r="H14">
        <v>6.8422000000000001</v>
      </c>
      <c r="I14">
        <v>16.719000000000001</v>
      </c>
      <c r="J14">
        <v>16.855399999999999</v>
      </c>
      <c r="K14">
        <f t="shared" si="1"/>
        <v>8.0923620916737837E-3</v>
      </c>
      <c r="L14">
        <f t="shared" si="3"/>
        <v>1.2312148175069742E-3</v>
      </c>
      <c r="M14">
        <f t="shared" si="4"/>
        <v>1.9500000000000001E-3</v>
      </c>
      <c r="N14" s="12">
        <v>0.99109371829917503</v>
      </c>
      <c r="O14">
        <f t="shared" si="5"/>
        <v>14.410530157569431</v>
      </c>
      <c r="P14">
        <f t="shared" si="2"/>
        <v>9.0986965426310746</v>
      </c>
    </row>
    <row r="15" spans="1:16">
      <c r="A15">
        <v>6</v>
      </c>
      <c r="B15" s="10">
        <v>43780</v>
      </c>
      <c r="C15" s="11">
        <v>0.52083333333333337</v>
      </c>
      <c r="D15">
        <f>D14+23-25/60</f>
        <v>73.533333333333331</v>
      </c>
      <c r="E15">
        <v>6.6529999999999996</v>
      </c>
      <c r="F15">
        <v>7.6966999999999999</v>
      </c>
      <c r="G15">
        <f t="shared" si="0"/>
        <v>0.98341656459059634</v>
      </c>
      <c r="H15">
        <v>6.6292</v>
      </c>
      <c r="I15">
        <v>16.507000000000001</v>
      </c>
      <c r="J15">
        <v>16.6388</v>
      </c>
      <c r="K15">
        <f t="shared" si="1"/>
        <v>7.9212443205037841E-3</v>
      </c>
      <c r="L15">
        <f t="shared" si="3"/>
        <v>1.1684824315428906E-3</v>
      </c>
      <c r="M15">
        <f t="shared" si="4"/>
        <v>1.9500000000000001E-3</v>
      </c>
      <c r="N15" s="12">
        <v>1.0682796204889631</v>
      </c>
      <c r="O15">
        <f t="shared" si="5"/>
        <v>16.36672649851668</v>
      </c>
      <c r="P15">
        <f t="shared" si="2"/>
        <v>9.8072986540431941</v>
      </c>
    </row>
    <row r="16" spans="1:16">
      <c r="A16">
        <v>7</v>
      </c>
      <c r="B16" s="10">
        <v>43781</v>
      </c>
      <c r="C16" s="11">
        <v>0.50694444444444442</v>
      </c>
      <c r="D16">
        <f>D15+24-20/60</f>
        <v>97.2</v>
      </c>
      <c r="E16">
        <v>6.9089999999999998</v>
      </c>
      <c r="F16">
        <v>7.9297000000000004</v>
      </c>
      <c r="G16">
        <f t="shared" si="0"/>
        <v>0.98304921506308385</v>
      </c>
      <c r="H16">
        <v>6.8028000000000004</v>
      </c>
      <c r="I16">
        <v>16.663399999999999</v>
      </c>
      <c r="J16">
        <v>16.800699999999999</v>
      </c>
      <c r="K16">
        <f t="shared" si="1"/>
        <v>8.1722785360133655E-3</v>
      </c>
      <c r="L16">
        <f t="shared" si="3"/>
        <v>1.205062800015724E-3</v>
      </c>
      <c r="M16">
        <f t="shared" si="4"/>
        <v>1.9500000000000001E-3</v>
      </c>
      <c r="N16" s="12">
        <v>1.0768558318433841</v>
      </c>
      <c r="O16">
        <f t="shared" si="5"/>
        <v>15.997309710834418</v>
      </c>
      <c r="P16">
        <f t="shared" si="2"/>
        <v>9.8860322219778745</v>
      </c>
    </row>
    <row r="19" spans="1:16">
      <c r="A19" s="3" t="s">
        <v>26</v>
      </c>
      <c r="B19" s="3"/>
      <c r="C19" s="4"/>
      <c r="D19" s="5"/>
      <c r="F19" s="6" t="s">
        <v>2</v>
      </c>
      <c r="G19">
        <v>3.3000000000000002E-2</v>
      </c>
    </row>
    <row r="20" spans="1:16">
      <c r="A20" s="3" t="s">
        <v>3</v>
      </c>
      <c r="B20" s="3"/>
      <c r="C20" s="4"/>
      <c r="D20" s="5">
        <f>150-(F26-E26)</f>
        <v>149.86199999999999</v>
      </c>
      <c r="F20" s="6" t="s">
        <v>4</v>
      </c>
      <c r="G20">
        <v>0.246</v>
      </c>
      <c r="H20">
        <f>G20/84.007</f>
        <v>2.9283274012879877E-3</v>
      </c>
    </row>
    <row r="21" spans="1:16">
      <c r="A21" s="3" t="s">
        <v>5</v>
      </c>
      <c r="B21" s="3"/>
      <c r="C21" s="4"/>
      <c r="D21" s="5">
        <v>5.0999999999999997E-2</v>
      </c>
    </row>
    <row r="22" spans="1:16">
      <c r="A22" s="3" t="s">
        <v>6</v>
      </c>
      <c r="B22" s="3"/>
      <c r="C22" s="4"/>
      <c r="D22" s="5"/>
    </row>
    <row r="24" spans="1:16">
      <c r="A24" s="7" t="s">
        <v>7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12</v>
      </c>
      <c r="G24" s="7" t="s">
        <v>13</v>
      </c>
      <c r="H24" s="7" t="s">
        <v>14</v>
      </c>
      <c r="I24" s="7" t="s">
        <v>15</v>
      </c>
      <c r="J24" s="7" t="s">
        <v>3</v>
      </c>
      <c r="K24" s="7" t="s">
        <v>16</v>
      </c>
      <c r="L24" s="7" t="s">
        <v>17</v>
      </c>
      <c r="M24" s="7" t="s">
        <v>18</v>
      </c>
      <c r="N24" s="7" t="s">
        <v>19</v>
      </c>
      <c r="O24" s="7" t="s">
        <v>20</v>
      </c>
      <c r="P24" s="7" t="s">
        <v>21</v>
      </c>
    </row>
    <row r="25" spans="1:16" ht="15" thickBot="1">
      <c r="A25" s="8"/>
      <c r="B25" s="8"/>
      <c r="C25" s="8"/>
      <c r="D25" s="8" t="s">
        <v>22</v>
      </c>
      <c r="E25" s="8" t="s">
        <v>23</v>
      </c>
      <c r="F25" s="8" t="s">
        <v>23</v>
      </c>
      <c r="G25" s="8"/>
      <c r="H25" s="8" t="s">
        <v>23</v>
      </c>
      <c r="I25" s="8" t="s">
        <v>23</v>
      </c>
      <c r="J25" s="8" t="s">
        <v>23</v>
      </c>
      <c r="K25" s="8"/>
      <c r="L25" s="8"/>
      <c r="M25" s="8"/>
      <c r="N25" s="8" t="s">
        <v>24</v>
      </c>
      <c r="O25" s="8" t="s">
        <v>25</v>
      </c>
      <c r="P25" s="9"/>
    </row>
    <row r="26" spans="1:16" ht="15" thickTop="1">
      <c r="A26">
        <v>1</v>
      </c>
      <c r="B26" s="10">
        <v>43776</v>
      </c>
      <c r="C26" s="11">
        <v>0.53333333333333333</v>
      </c>
      <c r="D26">
        <v>0</v>
      </c>
      <c r="E26">
        <v>2.1930000000000001</v>
      </c>
      <c r="F26">
        <v>2.331</v>
      </c>
      <c r="G26">
        <f>(F26-E26)/(F26-E26+0.0176)</f>
        <v>0.88688946015424153</v>
      </c>
      <c r="H26">
        <v>6.8281999999999998</v>
      </c>
      <c r="I26">
        <v>16.691400000000002</v>
      </c>
      <c r="J26">
        <v>16.8293</v>
      </c>
      <c r="K26">
        <f>(J26-I26)/J26</f>
        <v>8.1940425329632468E-3</v>
      </c>
      <c r="L26">
        <f>K26*G26*(0.3/2)</f>
        <v>1.0900814937811001E-3</v>
      </c>
      <c r="M26">
        <f>(0.13/10)*(0.3/2)</f>
        <v>1.9500000000000001E-3</v>
      </c>
      <c r="N26">
        <v>0.86245054798286158</v>
      </c>
      <c r="O26">
        <f>(N26/55.86)/L26</f>
        <v>14.16362123760778</v>
      </c>
      <c r="P26">
        <f>(N26/55.86)/M26</f>
        <v>7.9176930236108731</v>
      </c>
    </row>
    <row r="27" spans="1:16">
      <c r="A27">
        <v>2</v>
      </c>
      <c r="B27" s="10">
        <v>43776</v>
      </c>
      <c r="C27" s="11">
        <v>0.65208333333333335</v>
      </c>
      <c r="D27">
        <f>3-9/60</f>
        <v>2.85</v>
      </c>
      <c r="E27">
        <v>2.226</v>
      </c>
      <c r="F27">
        <v>3.2890000000000001</v>
      </c>
      <c r="G27">
        <f t="shared" ref="G27:G32" si="6">(F27-E27)/(F27-E27+0.0176)</f>
        <v>0.98371275217471765</v>
      </c>
      <c r="H27">
        <v>6.8098999999999998</v>
      </c>
      <c r="I27">
        <v>16.657399999999999</v>
      </c>
      <c r="J27">
        <v>16.7545</v>
      </c>
      <c r="K27">
        <f t="shared" ref="K27:K32" si="7">(J27-I27)/J27</f>
        <v>5.7954579366737936E-3</v>
      </c>
      <c r="L27">
        <f>K27*G27*(0.3/2)</f>
        <v>8.5515988154972826E-4</v>
      </c>
      <c r="M27">
        <f>(0.13/10)*(0.3/2)</f>
        <v>1.9500000000000001E-3</v>
      </c>
      <c r="N27">
        <v>1.0039580353308064</v>
      </c>
      <c r="O27">
        <f t="shared" ref="O27:O32" si="8">(N27/55.86)/L27</f>
        <v>21.016834783887607</v>
      </c>
      <c r="P27">
        <f t="shared" ref="P27:P32" si="9">(N27/55.86)/M27</f>
        <v>9.2167968945330934</v>
      </c>
    </row>
    <row r="28" spans="1:16">
      <c r="A28">
        <v>3</v>
      </c>
      <c r="B28" s="10">
        <v>43777</v>
      </c>
      <c r="C28" s="11">
        <v>0.53125</v>
      </c>
      <c r="D28">
        <f>D27+24-3+6/60</f>
        <v>23.950000000000003</v>
      </c>
      <c r="E28">
        <v>6.6310000000000002</v>
      </c>
      <c r="F28">
        <v>7.7262000000000004</v>
      </c>
      <c r="G28">
        <f t="shared" si="6"/>
        <v>0.98418404025880657</v>
      </c>
      <c r="H28">
        <v>6.6333000000000002</v>
      </c>
      <c r="I28">
        <v>16.477</v>
      </c>
      <c r="J28">
        <v>16.6145</v>
      </c>
      <c r="K28">
        <f t="shared" si="7"/>
        <v>8.2759035781997219E-3</v>
      </c>
      <c r="L28">
        <f t="shared" ref="L28:L32" si="10">K28*G28*(0.3/2)</f>
        <v>1.2217518330577375E-3</v>
      </c>
      <c r="M28">
        <f t="shared" ref="M28:M32" si="11">(0.13/10)*(0.3/2)</f>
        <v>1.9500000000000001E-3</v>
      </c>
      <c r="N28">
        <v>0.82385759688796756</v>
      </c>
      <c r="O28">
        <f t="shared" si="8"/>
        <v>12.071694053040472</v>
      </c>
      <c r="P28">
        <f t="shared" si="9"/>
        <v>7.5633919679048125</v>
      </c>
    </row>
    <row r="29" spans="1:16">
      <c r="A29">
        <v>4</v>
      </c>
      <c r="B29" s="10">
        <v>43778</v>
      </c>
      <c r="C29" s="11">
        <v>0.53125</v>
      </c>
      <c r="D29">
        <f>D28+4</f>
        <v>27.950000000000003</v>
      </c>
      <c r="E29">
        <v>6.609</v>
      </c>
      <c r="F29">
        <v>7.6977000000000002</v>
      </c>
      <c r="G29">
        <f t="shared" si="6"/>
        <v>0.98409111452589704</v>
      </c>
      <c r="H29">
        <v>6.8587999999999996</v>
      </c>
      <c r="I29">
        <v>16.702100000000002</v>
      </c>
      <c r="J29">
        <v>16.839700000000001</v>
      </c>
      <c r="K29">
        <f t="shared" si="7"/>
        <v>8.171166944779245E-3</v>
      </c>
      <c r="L29">
        <f t="shared" si="10"/>
        <v>1.2061759178497464E-3</v>
      </c>
      <c r="M29">
        <f t="shared" si="11"/>
        <v>1.9500000000000001E-3</v>
      </c>
      <c r="N29">
        <v>1.0339747750712793</v>
      </c>
      <c r="O29">
        <f t="shared" si="8"/>
        <v>15.3461118494985</v>
      </c>
      <c r="P29">
        <f t="shared" si="9"/>
        <v>9.4923643823044728</v>
      </c>
    </row>
    <row r="30" spans="1:16">
      <c r="A30">
        <v>5</v>
      </c>
      <c r="B30" s="10">
        <v>43779</v>
      </c>
      <c r="C30" s="11">
        <v>0.57291666666666663</v>
      </c>
      <c r="D30">
        <f>D29+23</f>
        <v>50.95</v>
      </c>
      <c r="E30">
        <v>6.5720000000000001</v>
      </c>
      <c r="F30">
        <v>7.7190000000000003</v>
      </c>
      <c r="G30">
        <f t="shared" si="6"/>
        <v>0.98488751502661853</v>
      </c>
      <c r="H30">
        <v>6.6368999999999998</v>
      </c>
      <c r="I30">
        <v>16.5093</v>
      </c>
      <c r="J30">
        <v>16.645</v>
      </c>
      <c r="K30">
        <f t="shared" si="7"/>
        <v>8.1525983778912552E-3</v>
      </c>
      <c r="L30">
        <f t="shared" si="10"/>
        <v>1.2044088536117038E-3</v>
      </c>
      <c r="M30">
        <f t="shared" si="11"/>
        <v>1.9500000000000001E-3</v>
      </c>
      <c r="N30">
        <v>1.0082461410080168</v>
      </c>
      <c r="O30">
        <f t="shared" si="8"/>
        <v>14.986205987236069</v>
      </c>
      <c r="P30">
        <f t="shared" si="9"/>
        <v>9.2561636785004335</v>
      </c>
    </row>
    <row r="31" spans="1:16">
      <c r="A31">
        <v>6</v>
      </c>
      <c r="B31" s="10">
        <v>43780</v>
      </c>
      <c r="C31" s="11">
        <v>0.52083333333333337</v>
      </c>
      <c r="D31">
        <f>D30+23-25/60</f>
        <v>73.533333333333331</v>
      </c>
      <c r="E31">
        <v>6.6680000000000001</v>
      </c>
      <c r="F31">
        <v>7.7161</v>
      </c>
      <c r="G31">
        <f t="shared" si="6"/>
        <v>0.98348503331143844</v>
      </c>
      <c r="H31">
        <v>6.6296999999999997</v>
      </c>
      <c r="I31">
        <v>16.512699999999999</v>
      </c>
      <c r="J31">
        <v>16.639199999999999</v>
      </c>
      <c r="K31">
        <f t="shared" si="7"/>
        <v>7.6025289677388377E-3</v>
      </c>
      <c r="L31">
        <f t="shared" si="10"/>
        <v>1.1215460182631709E-3</v>
      </c>
      <c r="M31">
        <f t="shared" si="11"/>
        <v>1.9500000000000001E-3</v>
      </c>
      <c r="N31">
        <v>1.0725677261661735</v>
      </c>
      <c r="O31">
        <f t="shared" si="8"/>
        <v>17.120115707650818</v>
      </c>
      <c r="P31">
        <f t="shared" si="9"/>
        <v>9.8466654380105343</v>
      </c>
    </row>
    <row r="32" spans="1:16">
      <c r="A32">
        <v>7</v>
      </c>
      <c r="B32" s="10">
        <v>43781</v>
      </c>
      <c r="C32" s="11">
        <v>0.50694444444444442</v>
      </c>
      <c r="D32">
        <f>D31+24-20/60</f>
        <v>97.2</v>
      </c>
      <c r="E32">
        <v>6.2969999999999997</v>
      </c>
      <c r="F32">
        <v>7.6722999999999999</v>
      </c>
      <c r="G32">
        <f t="shared" si="6"/>
        <v>0.98736449134898407</v>
      </c>
      <c r="H32">
        <v>6.8201999999999998</v>
      </c>
      <c r="I32">
        <v>16.698</v>
      </c>
      <c r="J32">
        <v>16.835000000000001</v>
      </c>
      <c r="K32">
        <f t="shared" si="7"/>
        <v>8.137808137808164E-3</v>
      </c>
      <c r="L32">
        <f t="shared" si="10"/>
        <v>1.205247418902387E-3</v>
      </c>
      <c r="M32">
        <f t="shared" si="11"/>
        <v>1.9500000000000001E-3</v>
      </c>
      <c r="N32">
        <v>1.0125342466852272</v>
      </c>
      <c r="O32">
        <f t="shared" si="8"/>
        <v>15.039471661610925</v>
      </c>
      <c r="P32">
        <f t="shared" si="9"/>
        <v>9.2955304624677737</v>
      </c>
    </row>
    <row r="35" spans="1:16">
      <c r="A35" s="3" t="s">
        <v>27</v>
      </c>
      <c r="B35" s="3"/>
      <c r="C35" s="4"/>
      <c r="D35" s="5"/>
      <c r="F35" s="6" t="s">
        <v>2</v>
      </c>
      <c r="G35">
        <v>0.49199999999999999</v>
      </c>
    </row>
    <row r="36" spans="1:16">
      <c r="A36" s="3" t="s">
        <v>3</v>
      </c>
      <c r="B36" s="3"/>
      <c r="C36" s="4"/>
      <c r="D36" s="5">
        <f>150-(F42-E42)</f>
        <v>148.87700000000001</v>
      </c>
      <c r="F36" s="6" t="s">
        <v>4</v>
      </c>
      <c r="G36">
        <v>6.5000000000000002E-2</v>
      </c>
      <c r="H36">
        <f>G36/84.007</f>
        <v>7.7374504505576917E-4</v>
      </c>
    </row>
    <row r="37" spans="1:16">
      <c r="A37" s="3" t="s">
        <v>5</v>
      </c>
      <c r="B37" s="3"/>
      <c r="C37" s="4"/>
      <c r="D37" s="5">
        <v>6.0999999999999999E-2</v>
      </c>
    </row>
    <row r="38" spans="1:16">
      <c r="A38" s="3" t="s">
        <v>6</v>
      </c>
      <c r="B38" s="3"/>
      <c r="C38" s="4"/>
      <c r="D38" s="5"/>
    </row>
    <row r="40" spans="1:16">
      <c r="A40" s="7" t="s">
        <v>7</v>
      </c>
      <c r="B40" s="7" t="s">
        <v>8</v>
      </c>
      <c r="C40" s="7" t="s">
        <v>9</v>
      </c>
      <c r="D40" s="7" t="s">
        <v>10</v>
      </c>
      <c r="E40" s="7" t="s">
        <v>11</v>
      </c>
      <c r="F40" s="7" t="s">
        <v>12</v>
      </c>
      <c r="G40" s="7" t="s">
        <v>13</v>
      </c>
      <c r="H40" s="7" t="s">
        <v>14</v>
      </c>
      <c r="I40" s="7" t="s">
        <v>15</v>
      </c>
      <c r="J40" s="7" t="s">
        <v>3</v>
      </c>
      <c r="K40" s="7" t="s">
        <v>16</v>
      </c>
      <c r="L40" s="7" t="s">
        <v>17</v>
      </c>
      <c r="M40" s="7" t="s">
        <v>18</v>
      </c>
      <c r="N40" s="7" t="s">
        <v>19</v>
      </c>
      <c r="O40" s="7" t="s">
        <v>20</v>
      </c>
      <c r="P40" s="7" t="s">
        <v>21</v>
      </c>
    </row>
    <row r="41" spans="1:16" ht="15" thickBot="1">
      <c r="A41" s="8"/>
      <c r="B41" s="8"/>
      <c r="C41" s="8"/>
      <c r="D41" s="8" t="s">
        <v>22</v>
      </c>
      <c r="E41" s="8" t="s">
        <v>23</v>
      </c>
      <c r="F41" s="8" t="s">
        <v>23</v>
      </c>
      <c r="G41" s="8"/>
      <c r="H41" s="8" t="s">
        <v>23</v>
      </c>
      <c r="I41" s="8" t="s">
        <v>23</v>
      </c>
      <c r="J41" s="8" t="s">
        <v>23</v>
      </c>
      <c r="K41" s="8"/>
      <c r="L41" s="8"/>
      <c r="M41" s="8"/>
      <c r="N41" s="8" t="s">
        <v>24</v>
      </c>
      <c r="O41" s="8" t="s">
        <v>25</v>
      </c>
      <c r="P41" s="9"/>
    </row>
    <row r="42" spans="1:16" ht="15" thickTop="1">
      <c r="A42">
        <v>1</v>
      </c>
      <c r="B42" s="10">
        <v>43776</v>
      </c>
      <c r="C42" s="11">
        <v>0.53680555555555554</v>
      </c>
      <c r="D42">
        <v>0</v>
      </c>
      <c r="E42">
        <v>2.1640000000000001</v>
      </c>
      <c r="F42">
        <v>3.2869999999999999</v>
      </c>
      <c r="G42">
        <f>(F42-E42)/(F42-E42+0.0176)</f>
        <v>0.98456952481150262</v>
      </c>
      <c r="H42">
        <v>6.8403</v>
      </c>
      <c r="I42">
        <v>16.770099999999999</v>
      </c>
      <c r="J42">
        <v>16.8383</v>
      </c>
      <c r="K42">
        <f>(J42-I42)/J42</f>
        <v>4.0502901124223308E-3</v>
      </c>
      <c r="L42">
        <f>K42*G42*(0.5/2)</f>
        <v>9.9694805283409549E-4</v>
      </c>
      <c r="M42">
        <f>(0.07/10)*(0.5/2)</f>
        <v>1.7500000000000003E-3</v>
      </c>
    </row>
    <row r="43" spans="1:16">
      <c r="A43">
        <v>2</v>
      </c>
      <c r="B43" s="10">
        <v>43776</v>
      </c>
      <c r="C43" s="11">
        <v>0.65208333333333335</v>
      </c>
      <c r="D43">
        <f>3-(53-39)/60</f>
        <v>2.7666666666666666</v>
      </c>
      <c r="E43">
        <v>2.2029999999999998</v>
      </c>
      <c r="F43">
        <v>3.302</v>
      </c>
      <c r="G43">
        <f t="shared" ref="G43:G48" si="12">(F43-E43)/(F43-E43+0.0176)</f>
        <v>0.98423786494716092</v>
      </c>
      <c r="H43">
        <v>6.8190999999999997</v>
      </c>
      <c r="I43">
        <v>16.768899999999999</v>
      </c>
      <c r="J43">
        <v>16.8369</v>
      </c>
      <c r="K43">
        <f t="shared" ref="K43:K47" si="13">(J43-I43)/J43</f>
        <v>4.0387482256235641E-3</v>
      </c>
      <c r="L43">
        <f t="shared" ref="L43:L47" si="14">K43*G43*(0.5/2)</f>
        <v>9.9377223266171777E-4</v>
      </c>
      <c r="M43">
        <f t="shared" ref="M43:M48" si="15">(0.07/10)*(0.5/2)</f>
        <v>1.7500000000000003E-3</v>
      </c>
    </row>
    <row r="44" spans="1:16">
      <c r="A44">
        <v>3</v>
      </c>
      <c r="B44" s="10">
        <v>43777</v>
      </c>
      <c r="C44" s="11">
        <v>0.53125</v>
      </c>
      <c r="D44">
        <f>D43+24-3+6/60</f>
        <v>23.866666666666667</v>
      </c>
      <c r="E44">
        <v>6.6779999999999999</v>
      </c>
      <c r="F44">
        <v>7.7095000000000002</v>
      </c>
      <c r="G44">
        <f t="shared" si="12"/>
        <v>0.98322371556572297</v>
      </c>
      <c r="H44">
        <v>6.8537999999999997</v>
      </c>
      <c r="I44">
        <v>16.797699999999999</v>
      </c>
      <c r="J44">
        <v>16.865500000000001</v>
      </c>
      <c r="K44">
        <f t="shared" si="13"/>
        <v>4.0200409119208955E-3</v>
      </c>
      <c r="L44">
        <f t="shared" si="14"/>
        <v>9.8814989053626996E-4</v>
      </c>
      <c r="M44">
        <f t="shared" si="15"/>
        <v>1.7500000000000003E-3</v>
      </c>
      <c r="N44">
        <v>1.7372241061337927</v>
      </c>
      <c r="O44">
        <f>(N44/55.86)/L44</f>
        <v>31.47256135541469</v>
      </c>
      <c r="P44">
        <f t="shared" ref="P44:P47" si="16">(N44/55.86)/M44</f>
        <v>17.771204604713748</v>
      </c>
    </row>
    <row r="45" spans="1:16">
      <c r="A45">
        <v>4</v>
      </c>
      <c r="B45" s="10">
        <v>43778</v>
      </c>
      <c r="C45" s="11">
        <v>0.53125</v>
      </c>
      <c r="D45">
        <f>D44+4</f>
        <v>27.866666666666667</v>
      </c>
      <c r="E45">
        <v>6.68</v>
      </c>
      <c r="F45">
        <v>7.9097</v>
      </c>
      <c r="G45">
        <f t="shared" si="12"/>
        <v>0.98588952136615082</v>
      </c>
      <c r="H45">
        <v>6.8052999999999999</v>
      </c>
      <c r="I45">
        <v>16.755800000000001</v>
      </c>
      <c r="J45">
        <v>16.823799999999999</v>
      </c>
      <c r="K45">
        <f t="shared" si="13"/>
        <v>4.0418930324895592E-3</v>
      </c>
      <c r="L45">
        <f t="shared" si="14"/>
        <v>9.9621499680357787E-4</v>
      </c>
      <c r="M45">
        <f t="shared" si="15"/>
        <v>1.7500000000000003E-3</v>
      </c>
      <c r="N45">
        <v>1.7243597891021614</v>
      </c>
      <c r="O45">
        <f>(N45/55.86)/L45</f>
        <v>30.986596739746307</v>
      </c>
      <c r="P45">
        <f t="shared" si="16"/>
        <v>17.63960706973721</v>
      </c>
    </row>
    <row r="46" spans="1:16">
      <c r="A46">
        <v>5</v>
      </c>
      <c r="B46" s="10">
        <v>43779</v>
      </c>
      <c r="C46" s="11">
        <v>0.57291666666666663</v>
      </c>
      <c r="D46">
        <f>D45+23</f>
        <v>50.866666666666667</v>
      </c>
      <c r="E46">
        <v>6.93</v>
      </c>
      <c r="F46">
        <v>7.6955</v>
      </c>
      <c r="G46">
        <f t="shared" si="12"/>
        <v>0.97752522027838085</v>
      </c>
      <c r="H46">
        <v>6.6969000000000003</v>
      </c>
      <c r="I46">
        <v>16.645</v>
      </c>
      <c r="J46">
        <v>16.709599999999998</v>
      </c>
      <c r="K46">
        <f t="shared" si="13"/>
        <v>3.8660410781825218E-3</v>
      </c>
      <c r="L46">
        <f t="shared" si="14"/>
        <v>9.4478816413890961E-4</v>
      </c>
      <c r="M46">
        <f t="shared" si="15"/>
        <v>1.7500000000000003E-3</v>
      </c>
      <c r="N46">
        <v>1.8487148537412639</v>
      </c>
      <c r="O46">
        <f>(N46/55.86)/L46</f>
        <v>35.029549756856667</v>
      </c>
      <c r="P46">
        <f t="shared" si="16"/>
        <v>18.911716574510397</v>
      </c>
    </row>
    <row r="47" spans="1:16">
      <c r="A47">
        <v>6</v>
      </c>
      <c r="B47" s="10">
        <v>43780</v>
      </c>
      <c r="C47" s="11">
        <v>0.52083333333333337</v>
      </c>
      <c r="D47">
        <f>D46+23-25/60</f>
        <v>73.45</v>
      </c>
      <c r="E47">
        <v>6.7220000000000004</v>
      </c>
      <c r="F47">
        <v>7.7473000000000001</v>
      </c>
      <c r="G47">
        <f t="shared" si="12"/>
        <v>0.98312398120625177</v>
      </c>
      <c r="H47">
        <v>6.8075000000000001</v>
      </c>
      <c r="I47">
        <v>16.765000000000001</v>
      </c>
      <c r="J47">
        <v>16.8308</v>
      </c>
      <c r="K47">
        <f t="shared" si="13"/>
        <v>3.9094992513724492E-3</v>
      </c>
      <c r="L47">
        <f t="shared" si="14"/>
        <v>9.6088061713303576E-4</v>
      </c>
      <c r="M47">
        <f t="shared" si="15"/>
        <v>1.7500000000000003E-3</v>
      </c>
      <c r="N47">
        <v>1.6343095698807419</v>
      </c>
      <c r="O47">
        <f>(N47/55.86)/L47</f>
        <v>30.448363768510514</v>
      </c>
      <c r="P47">
        <f t="shared" si="16"/>
        <v>16.718424324901456</v>
      </c>
    </row>
    <row r="48" spans="1:16">
      <c r="A48">
        <v>7</v>
      </c>
      <c r="B48" s="10">
        <v>43781</v>
      </c>
      <c r="C48" s="11">
        <v>0.50694444444444442</v>
      </c>
      <c r="D48">
        <f>D47+24-20/60</f>
        <v>97.116666666666674</v>
      </c>
      <c r="E48">
        <v>6.6859999999999999</v>
      </c>
      <c r="G48">
        <f t="shared" si="12"/>
        <v>1.0026393137784175</v>
      </c>
      <c r="H48">
        <v>6.8293999999999997</v>
      </c>
      <c r="I48">
        <v>16.7362</v>
      </c>
      <c r="J48">
        <v>16.733899999999998</v>
      </c>
      <c r="M48">
        <f t="shared" si="15"/>
        <v>1.7500000000000003E-3</v>
      </c>
      <c r="N48">
        <v>1.0382628807484897</v>
      </c>
      <c r="P48">
        <f>(N48/55.86)/M48</f>
        <v>10.621071870988589</v>
      </c>
    </row>
    <row r="51" spans="1:16">
      <c r="A51" s="3" t="s">
        <v>28</v>
      </c>
      <c r="B51" s="3"/>
      <c r="C51" s="4"/>
      <c r="D51" s="5"/>
      <c r="F51" s="6" t="s">
        <v>2</v>
      </c>
      <c r="G51">
        <v>0.59199999999999997</v>
      </c>
    </row>
    <row r="52" spans="1:16">
      <c r="A52" s="3" t="s">
        <v>3</v>
      </c>
      <c r="B52" s="3"/>
      <c r="C52" s="4"/>
      <c r="D52" s="5">
        <f>150-(F58-E58)</f>
        <v>148.80600000000001</v>
      </c>
      <c r="F52" s="6" t="s">
        <v>4</v>
      </c>
      <c r="G52">
        <v>6.5000000000000002E-2</v>
      </c>
    </row>
    <row r="53" spans="1:16">
      <c r="A53" s="3" t="s">
        <v>5</v>
      </c>
      <c r="B53" s="3"/>
      <c r="C53" s="4"/>
      <c r="D53" s="5">
        <v>5.6000000000000001E-2</v>
      </c>
    </row>
    <row r="54" spans="1:16">
      <c r="A54" s="3" t="s">
        <v>6</v>
      </c>
      <c r="B54" s="3"/>
      <c r="C54" s="4"/>
      <c r="D54" s="5"/>
    </row>
    <row r="56" spans="1:16">
      <c r="A56" s="7" t="s">
        <v>7</v>
      </c>
      <c r="B56" s="7" t="s">
        <v>8</v>
      </c>
      <c r="C56" s="7" t="s">
        <v>9</v>
      </c>
      <c r="D56" s="7" t="s">
        <v>10</v>
      </c>
      <c r="E56" s="7" t="s">
        <v>11</v>
      </c>
      <c r="F56" s="7" t="s">
        <v>12</v>
      </c>
      <c r="G56" s="7" t="s">
        <v>13</v>
      </c>
      <c r="H56" s="7" t="s">
        <v>14</v>
      </c>
      <c r="I56" s="7" t="s">
        <v>15</v>
      </c>
      <c r="J56" s="7" t="s">
        <v>3</v>
      </c>
      <c r="K56" s="7" t="s">
        <v>16</v>
      </c>
      <c r="L56" s="7" t="s">
        <v>17</v>
      </c>
      <c r="M56" s="7" t="s">
        <v>18</v>
      </c>
      <c r="N56" s="7" t="s">
        <v>19</v>
      </c>
      <c r="O56" s="7" t="s">
        <v>20</v>
      </c>
      <c r="P56" s="7" t="s">
        <v>21</v>
      </c>
    </row>
    <row r="57" spans="1:16" ht="15" thickBot="1">
      <c r="A57" s="8"/>
      <c r="B57" s="8"/>
      <c r="C57" s="8"/>
      <c r="D57" s="8" t="s">
        <v>22</v>
      </c>
      <c r="E57" s="8" t="s">
        <v>23</v>
      </c>
      <c r="F57" s="8" t="s">
        <v>23</v>
      </c>
      <c r="G57" s="8"/>
      <c r="H57" s="8" t="s">
        <v>23</v>
      </c>
      <c r="I57" s="8" t="s">
        <v>23</v>
      </c>
      <c r="J57" s="8" t="s">
        <v>23</v>
      </c>
      <c r="K57" s="8"/>
      <c r="L57" s="8"/>
      <c r="M57" s="8"/>
      <c r="N57" s="8" t="s">
        <v>24</v>
      </c>
      <c r="O57" s="8" t="s">
        <v>25</v>
      </c>
      <c r="P57" s="9"/>
    </row>
    <row r="58" spans="1:16" ht="15" thickTop="1">
      <c r="A58">
        <v>1</v>
      </c>
      <c r="B58" s="10">
        <v>43776</v>
      </c>
      <c r="C58" s="11">
        <v>0.53680555555555554</v>
      </c>
      <c r="D58">
        <v>0</v>
      </c>
      <c r="E58">
        <v>2.113</v>
      </c>
      <c r="F58">
        <v>3.3069999999999999</v>
      </c>
      <c r="G58">
        <f>(F58-E58)/(F58-E58+0.0176)</f>
        <v>0.98547375371409707</v>
      </c>
      <c r="H58">
        <v>6.8380000000000001</v>
      </c>
      <c r="I58">
        <v>16.7697</v>
      </c>
      <c r="J58">
        <v>16.837800000000001</v>
      </c>
      <c r="K58">
        <f>(J58-I58)/J58</f>
        <v>4.0444713679935115E-3</v>
      </c>
      <c r="L58">
        <f>K58*G58*(0.5/2)</f>
        <v>9.9643009520143872E-4</v>
      </c>
      <c r="M58">
        <f>(0.07/10)*(0.5/2)</f>
        <v>1.7500000000000003E-3</v>
      </c>
      <c r="N58">
        <v>0.97822940126754365</v>
      </c>
      <c r="O58">
        <f>(N58/55.86)/L58</f>
        <v>17.574903303559282</v>
      </c>
      <c r="P58">
        <f t="shared" ref="P58:P64" si="17">(N58/55.86)/M58</f>
        <v>10.006950041098087</v>
      </c>
    </row>
    <row r="59" spans="1:16">
      <c r="A59">
        <v>2</v>
      </c>
      <c r="B59" s="10">
        <v>43776</v>
      </c>
      <c r="C59" s="11">
        <v>0.65208333333333335</v>
      </c>
      <c r="D59">
        <f>3-(53-39)/60</f>
        <v>2.7666666666666666</v>
      </c>
      <c r="E59">
        <v>2.3159999999999998</v>
      </c>
      <c r="F59">
        <v>3.3</v>
      </c>
      <c r="G59">
        <f t="shared" ref="G59:G64" si="18">(F59-E59)/(F59-E59+0.0176)</f>
        <v>0.98242811501597438</v>
      </c>
      <c r="H59">
        <v>6.8346</v>
      </c>
      <c r="I59">
        <v>16.757000000000001</v>
      </c>
      <c r="J59">
        <v>16.824400000000001</v>
      </c>
      <c r="K59">
        <f t="shared" ref="K59:K64" si="19">(J59-I59)/J59</f>
        <v>4.0060863983261948E-3</v>
      </c>
      <c r="L59">
        <f t="shared" ref="L59:L63" si="20">K59*G59*(0.5/2)</f>
        <v>9.8392297722468434E-4</v>
      </c>
      <c r="M59">
        <f t="shared" ref="M59:M64" si="21">(0.07/10)*(0.5/2)</f>
        <v>1.7500000000000003E-3</v>
      </c>
      <c r="N59">
        <v>0.66948579250839146</v>
      </c>
      <c r="O59">
        <f>(N59/55.86)/L59</f>
        <v>12.180898688546694</v>
      </c>
      <c r="P59">
        <f t="shared" si="17"/>
        <v>6.8486092016612083</v>
      </c>
    </row>
    <row r="60" spans="1:16">
      <c r="A60">
        <v>3</v>
      </c>
      <c r="B60" s="10">
        <v>43777</v>
      </c>
      <c r="C60" s="11">
        <v>0.53125</v>
      </c>
      <c r="D60">
        <f>D59+24-3+6/60</f>
        <v>23.866666666666667</v>
      </c>
      <c r="E60">
        <v>6.7060000000000004</v>
      </c>
      <c r="F60">
        <v>7.7586000000000004</v>
      </c>
      <c r="G60">
        <f t="shared" si="18"/>
        <v>0.98355447579891608</v>
      </c>
      <c r="H60">
        <v>6.6296999999999997</v>
      </c>
      <c r="I60">
        <v>16.549299999999999</v>
      </c>
      <c r="J60">
        <v>16.577500000000001</v>
      </c>
      <c r="K60">
        <f t="shared" si="19"/>
        <v>1.7011008897603243E-3</v>
      </c>
      <c r="L60">
        <f t="shared" si="20"/>
        <v>4.1828134847732138E-4</v>
      </c>
      <c r="M60">
        <f t="shared" si="21"/>
        <v>1.7500000000000003E-3</v>
      </c>
      <c r="N60">
        <v>0.96536508423591227</v>
      </c>
      <c r="O60">
        <f>(N60/55.86)/L60</f>
        <v>41.316369827687197</v>
      </c>
      <c r="P60">
        <f t="shared" si="17"/>
        <v>9.8753525061215495</v>
      </c>
    </row>
    <row r="61" spans="1:16">
      <c r="A61">
        <v>4</v>
      </c>
      <c r="B61" s="10">
        <v>43778</v>
      </c>
      <c r="C61" s="11">
        <v>0.53125</v>
      </c>
      <c r="D61">
        <f>D60+4</f>
        <v>27.866666666666667</v>
      </c>
      <c r="E61">
        <v>6.931</v>
      </c>
      <c r="F61">
        <v>7.8845000000000001</v>
      </c>
      <c r="G61">
        <f t="shared" si="18"/>
        <v>0.98187622284007836</v>
      </c>
      <c r="H61">
        <v>6.8280000000000003</v>
      </c>
      <c r="I61">
        <v>16.774799999999999</v>
      </c>
      <c r="J61">
        <v>16.724399999999999</v>
      </c>
      <c r="K61">
        <f t="shared" si="19"/>
        <v>-3.0135610246107354E-3</v>
      </c>
      <c r="M61">
        <f t="shared" si="21"/>
        <v>1.7500000000000003E-3</v>
      </c>
    </row>
    <row r="62" spans="1:16">
      <c r="A62">
        <v>5</v>
      </c>
      <c r="B62" s="10">
        <v>43779</v>
      </c>
      <c r="C62" s="11">
        <v>0.57291666666666663</v>
      </c>
      <c r="D62">
        <f>D61+23</f>
        <v>50.866666666666667</v>
      </c>
      <c r="E62">
        <v>6.8330000000000002</v>
      </c>
      <c r="F62">
        <v>7.6449999999999996</v>
      </c>
      <c r="G62">
        <f t="shared" si="18"/>
        <v>0.97878495660559306</v>
      </c>
      <c r="H62">
        <v>6.8352000000000004</v>
      </c>
      <c r="I62">
        <v>16.750599999999999</v>
      </c>
      <c r="J62">
        <v>16.8094</v>
      </c>
      <c r="K62">
        <f t="shared" si="19"/>
        <v>3.4980427617881376E-3</v>
      </c>
      <c r="L62">
        <f t="shared" si="20"/>
        <v>8.5595790820032784E-4</v>
      </c>
      <c r="M62">
        <f t="shared" si="21"/>
        <v>1.7500000000000003E-3</v>
      </c>
      <c r="N62">
        <v>0.90104349907775561</v>
      </c>
      <c r="O62">
        <f>(N62/55.86)/L62</f>
        <v>18.844838396998458</v>
      </c>
      <c r="P62">
        <f t="shared" si="17"/>
        <v>9.2173648312388679</v>
      </c>
    </row>
    <row r="63" spans="1:16">
      <c r="A63">
        <v>6</v>
      </c>
      <c r="B63" s="10">
        <v>43780</v>
      </c>
      <c r="C63" s="11">
        <v>0.52083333333333337</v>
      </c>
      <c r="D63">
        <f>D62+23-25/60</f>
        <v>73.45</v>
      </c>
      <c r="E63">
        <v>7.0010000000000003</v>
      </c>
      <c r="F63">
        <v>7.9071999999999996</v>
      </c>
      <c r="G63">
        <f t="shared" si="18"/>
        <v>0.98094825719852785</v>
      </c>
      <c r="H63">
        <v>6.6406999999999998</v>
      </c>
      <c r="I63">
        <v>16.574000000000002</v>
      </c>
      <c r="J63">
        <v>16.640899999999998</v>
      </c>
      <c r="K63">
        <f t="shared" si="19"/>
        <v>4.0202152527806104E-3</v>
      </c>
      <c r="L63">
        <f t="shared" si="20"/>
        <v>9.8590578644451978E-4</v>
      </c>
      <c r="M63">
        <f t="shared" si="21"/>
        <v>1.7500000000000003E-3</v>
      </c>
      <c r="N63">
        <v>0.96536508423591227</v>
      </c>
      <c r="O63">
        <f>(N63/55.86)/L63</f>
        <v>17.528923273730296</v>
      </c>
      <c r="P63">
        <f t="shared" si="17"/>
        <v>9.8753525061215495</v>
      </c>
    </row>
    <row r="64" spans="1:16">
      <c r="A64">
        <v>7</v>
      </c>
      <c r="B64" s="10">
        <v>43781</v>
      </c>
      <c r="C64" s="11">
        <v>0.50694444444444442</v>
      </c>
      <c r="D64">
        <f>D63+24-20/60</f>
        <v>97.116666666666674</v>
      </c>
      <c r="E64">
        <v>6.8739999999999997</v>
      </c>
      <c r="F64">
        <v>7.8055000000000003</v>
      </c>
      <c r="G64">
        <f t="shared" si="18"/>
        <v>0.98145611632072494</v>
      </c>
      <c r="H64">
        <v>6.6402999999999999</v>
      </c>
      <c r="I64">
        <v>16.556699999999999</v>
      </c>
      <c r="J64">
        <v>16.6251</v>
      </c>
      <c r="K64">
        <f t="shared" si="19"/>
        <v>4.1142609668513548E-3</v>
      </c>
      <c r="L64">
        <f>K64*G64*(0.5/2)</f>
        <v>1.0094916475139703E-3</v>
      </c>
      <c r="M64">
        <f t="shared" si="21"/>
        <v>1.7500000000000003E-3</v>
      </c>
      <c r="N64">
        <v>1.0253985637168586</v>
      </c>
      <c r="O64">
        <f>(N64/55.86)/L64</f>
        <v>18.183984120351091</v>
      </c>
      <c r="P64">
        <f t="shared" si="17"/>
        <v>10.489474336012055</v>
      </c>
    </row>
    <row r="67" spans="1:16">
      <c r="A67" s="3" t="s">
        <v>29</v>
      </c>
      <c r="B67" s="3"/>
      <c r="C67" s="4"/>
      <c r="D67" s="5"/>
      <c r="F67" s="6" t="s">
        <v>2</v>
      </c>
      <c r="G67">
        <v>0.98299999999999998</v>
      </c>
    </row>
    <row r="68" spans="1:16">
      <c r="A68" s="3" t="s">
        <v>3</v>
      </c>
      <c r="B68" s="3"/>
      <c r="C68" s="4"/>
      <c r="D68" s="5">
        <f>150-(F74-E74)</f>
        <v>148.86199999999999</v>
      </c>
      <c r="F68" s="6" t="s">
        <v>4</v>
      </c>
      <c r="G68">
        <v>0.13800000000000001</v>
      </c>
      <c r="H68">
        <f>G68/84.007</f>
        <v>1.6427202495030177E-3</v>
      </c>
    </row>
    <row r="69" spans="1:16">
      <c r="A69" s="3" t="s">
        <v>5</v>
      </c>
      <c r="B69" s="3"/>
      <c r="C69" s="4"/>
      <c r="D69" s="5">
        <v>6.0999999999999999E-2</v>
      </c>
    </row>
    <row r="70" spans="1:16">
      <c r="A70" s="3" t="s">
        <v>6</v>
      </c>
      <c r="B70" s="3"/>
      <c r="C70" s="4"/>
      <c r="D70" s="5"/>
    </row>
    <row r="72" spans="1:16">
      <c r="A72" s="7" t="s">
        <v>7</v>
      </c>
      <c r="B72" s="7" t="s">
        <v>8</v>
      </c>
      <c r="C72" s="7" t="s">
        <v>9</v>
      </c>
      <c r="D72" s="7" t="s">
        <v>10</v>
      </c>
      <c r="E72" s="7" t="s">
        <v>11</v>
      </c>
      <c r="F72" s="7" t="s">
        <v>12</v>
      </c>
      <c r="G72" s="7" t="s">
        <v>13</v>
      </c>
      <c r="H72" s="7" t="s">
        <v>14</v>
      </c>
      <c r="I72" s="7" t="s">
        <v>15</v>
      </c>
      <c r="J72" s="7" t="s">
        <v>3</v>
      </c>
      <c r="K72" s="7" t="s">
        <v>16</v>
      </c>
      <c r="L72" s="7" t="s">
        <v>17</v>
      </c>
      <c r="M72" s="7" t="s">
        <v>18</v>
      </c>
      <c r="N72" s="7" t="s">
        <v>19</v>
      </c>
      <c r="O72" s="7" t="s">
        <v>20</v>
      </c>
      <c r="P72" s="7" t="s">
        <v>21</v>
      </c>
    </row>
    <row r="73" spans="1:16" ht="15" thickBot="1">
      <c r="A73" s="8"/>
      <c r="B73" s="8"/>
      <c r="C73" s="8"/>
      <c r="D73" s="8" t="s">
        <v>22</v>
      </c>
      <c r="E73" s="8" t="s">
        <v>23</v>
      </c>
      <c r="F73" s="8" t="s">
        <v>23</v>
      </c>
      <c r="G73" s="8"/>
      <c r="H73" s="8" t="s">
        <v>23</v>
      </c>
      <c r="I73" s="8" t="s">
        <v>23</v>
      </c>
      <c r="J73" s="8" t="s">
        <v>23</v>
      </c>
      <c r="K73" s="8"/>
      <c r="L73" s="8"/>
      <c r="M73" s="8"/>
      <c r="N73" s="8" t="s">
        <v>24</v>
      </c>
      <c r="O73" s="8" t="s">
        <v>25</v>
      </c>
      <c r="P73" s="9"/>
    </row>
    <row r="74" spans="1:16" ht="15" thickTop="1">
      <c r="A74">
        <v>1</v>
      </c>
      <c r="B74" s="10">
        <v>43776</v>
      </c>
      <c r="C74" s="11">
        <v>0.5444444444444444</v>
      </c>
      <c r="D74">
        <v>0</v>
      </c>
      <c r="E74">
        <v>2.1709999999999998</v>
      </c>
      <c r="F74">
        <v>3.3090000000000002</v>
      </c>
      <c r="G74">
        <f>(F74-E74)/(F74-E74+0.0176)</f>
        <v>0.98476981654551743</v>
      </c>
      <c r="H74">
        <v>6.6148999999999996</v>
      </c>
      <c r="I74">
        <v>16.569900000000001</v>
      </c>
      <c r="J74">
        <v>16.566800000000001</v>
      </c>
      <c r="M74">
        <f>(0.025/10)*(1/2)</f>
        <v>1.25E-3</v>
      </c>
      <c r="N74">
        <v>2.0416796092157341</v>
      </c>
      <c r="P74">
        <f t="shared" ref="P74:P80" si="22">(N74/55.86)/M74</f>
        <v>29.239951438821826</v>
      </c>
    </row>
    <row r="75" spans="1:16">
      <c r="A75">
        <v>2</v>
      </c>
      <c r="B75" s="10">
        <v>43776</v>
      </c>
      <c r="C75" s="11">
        <v>0.65208333333333335</v>
      </c>
      <c r="D75">
        <f>3-25/60</f>
        <v>2.5833333333333335</v>
      </c>
      <c r="E75">
        <v>2.1970000000000001</v>
      </c>
      <c r="F75">
        <v>3.274</v>
      </c>
      <c r="G75">
        <f t="shared" ref="G75:G80" si="23">(F75-E75)/(F75-E75+0.0176)</f>
        <v>0.98392106705645888</v>
      </c>
      <c r="H75">
        <v>6.6543000000000001</v>
      </c>
      <c r="I75">
        <v>16.6037</v>
      </c>
      <c r="J75">
        <v>16.636399999999998</v>
      </c>
      <c r="K75">
        <f t="shared" ref="K75:K79" si="24">(J75-I75)/J75</f>
        <v>1.9655694741649876E-3</v>
      </c>
      <c r="L75">
        <f>K75*G75*(1/2)</f>
        <v>9.6698260719700862E-4</v>
      </c>
      <c r="M75">
        <f t="shared" ref="M75:M80" si="25">(0.025/10)*(1/2)</f>
        <v>1.25E-3</v>
      </c>
      <c r="N75">
        <v>1.578564196077006</v>
      </c>
      <c r="O75">
        <f>(N75/55.86)/L75</f>
        <v>29.224201536489538</v>
      </c>
      <c r="P75">
        <f t="shared" si="22"/>
        <v>22.607435676004382</v>
      </c>
    </row>
    <row r="76" spans="1:16">
      <c r="A76">
        <v>3</v>
      </c>
      <c r="B76" s="10">
        <v>43777</v>
      </c>
      <c r="C76" s="11">
        <v>0.53125</v>
      </c>
      <c r="D76">
        <f>D75+24-3+6/60</f>
        <v>23.683333333333334</v>
      </c>
      <c r="E76">
        <v>7.0309999999999997</v>
      </c>
      <c r="F76">
        <v>7.6763000000000003</v>
      </c>
      <c r="G76">
        <f t="shared" si="23"/>
        <v>0.97344999245738428</v>
      </c>
      <c r="H76">
        <v>6.7460000000000004</v>
      </c>
      <c r="I76">
        <v>16.666899999999998</v>
      </c>
      <c r="J76">
        <v>16.994</v>
      </c>
      <c r="K76">
        <f t="shared" si="24"/>
        <v>1.924796987171952E-2</v>
      </c>
      <c r="L76">
        <f t="shared" ref="L76:L79" si="26">K76*G76*(1/2)</f>
        <v>9.3684680632226628E-3</v>
      </c>
      <c r="M76">
        <f t="shared" si="25"/>
        <v>1.25E-3</v>
      </c>
      <c r="N76">
        <v>1.3941756519569568</v>
      </c>
      <c r="O76">
        <f>(N76/55.86)/L76</f>
        <v>2.664084414966621</v>
      </c>
      <c r="P76">
        <f t="shared" si="22"/>
        <v>19.966711807475214</v>
      </c>
    </row>
    <row r="77" spans="1:16">
      <c r="A77">
        <v>4</v>
      </c>
      <c r="B77" s="10">
        <v>43778</v>
      </c>
      <c r="C77" s="11">
        <v>0.53125</v>
      </c>
      <c r="D77">
        <f>D76+4</f>
        <v>27.683333333333334</v>
      </c>
      <c r="E77">
        <v>7.0720000000000001</v>
      </c>
      <c r="F77">
        <v>7.8985000000000003</v>
      </c>
      <c r="G77">
        <f t="shared" si="23"/>
        <v>0.97914938988271538</v>
      </c>
      <c r="H77">
        <v>6.8216000000000001</v>
      </c>
      <c r="I77">
        <v>16.868300000000001</v>
      </c>
      <c r="J77">
        <v>16.840499999999999</v>
      </c>
      <c r="M77">
        <f t="shared" si="25"/>
        <v>1.25E-3</v>
      </c>
      <c r="N77">
        <v>2.1360179341143639</v>
      </c>
    </row>
    <row r="78" spans="1:16">
      <c r="A78">
        <v>5</v>
      </c>
      <c r="B78" s="10">
        <v>43779</v>
      </c>
      <c r="C78" s="11">
        <v>0.57291666666666663</v>
      </c>
      <c r="D78">
        <f>D77+23</f>
        <v>50.683333333333337</v>
      </c>
      <c r="E78">
        <v>6.7750000000000004</v>
      </c>
      <c r="F78">
        <v>7.7134999999999998</v>
      </c>
      <c r="G78">
        <f t="shared" si="23"/>
        <v>0.98159188369417427</v>
      </c>
      <c r="H78">
        <v>6.8380000000000001</v>
      </c>
      <c r="I78">
        <v>16.803899999999999</v>
      </c>
      <c r="J78">
        <v>16.830200000000001</v>
      </c>
      <c r="K78">
        <f t="shared" si="24"/>
        <v>1.5626671103137605E-3</v>
      </c>
      <c r="L78">
        <f t="shared" si="26"/>
        <v>7.669506761999081E-4</v>
      </c>
      <c r="M78">
        <f t="shared" si="25"/>
        <v>1.25E-3</v>
      </c>
      <c r="N78">
        <v>1.7415122118110031</v>
      </c>
      <c r="O78">
        <f>(N78/55.86)/L78</f>
        <v>40.649776125706367</v>
      </c>
      <c r="P78">
        <f t="shared" si="22"/>
        <v>24.9410986295883</v>
      </c>
    </row>
    <row r="79" spans="1:16">
      <c r="A79">
        <v>6</v>
      </c>
      <c r="B79" s="10">
        <v>43780</v>
      </c>
      <c r="C79" s="11">
        <v>0.52083333333333337</v>
      </c>
      <c r="D79">
        <f>D78+23-25/60</f>
        <v>73.266666666666666</v>
      </c>
      <c r="E79">
        <v>6.9820000000000002</v>
      </c>
      <c r="F79">
        <v>7.9038000000000004</v>
      </c>
      <c r="G79">
        <f t="shared" si="23"/>
        <v>0.98126463700234201</v>
      </c>
      <c r="H79">
        <v>6.6429</v>
      </c>
      <c r="I79">
        <v>16.564900000000002</v>
      </c>
      <c r="J79">
        <v>16.589099999999998</v>
      </c>
      <c r="K79">
        <f t="shared" si="24"/>
        <v>1.458789204959696E-3</v>
      </c>
      <c r="L79">
        <f t="shared" si="26"/>
        <v>7.157291298338556E-4</v>
      </c>
      <c r="M79">
        <f t="shared" si="25"/>
        <v>1.25E-3</v>
      </c>
      <c r="N79">
        <v>0.27498007020503051</v>
      </c>
      <c r="O79">
        <f>(N79/55.86)/L79</f>
        <v>6.8778324843492555</v>
      </c>
      <c r="P79">
        <f t="shared" si="22"/>
        <v>3.9381320473330543</v>
      </c>
    </row>
    <row r="80" spans="1:16">
      <c r="A80">
        <v>7</v>
      </c>
      <c r="B80" s="10">
        <v>43781</v>
      </c>
      <c r="C80" s="11">
        <v>0.50694444444444442</v>
      </c>
      <c r="D80">
        <f>D79+24-20/60</f>
        <v>96.933333333333337</v>
      </c>
      <c r="E80">
        <v>6.6760000000000002</v>
      </c>
      <c r="G80">
        <f t="shared" si="23"/>
        <v>1.0026432776643037</v>
      </c>
      <c r="H80">
        <v>6.8240999999999996</v>
      </c>
      <c r="I80">
        <v>16.760999999999999</v>
      </c>
      <c r="J80">
        <v>16.6907</v>
      </c>
      <c r="M80">
        <f t="shared" si="25"/>
        <v>1.25E-3</v>
      </c>
      <c r="N80">
        <v>0.34787786671760812</v>
      </c>
      <c r="P80">
        <f t="shared" si="22"/>
        <v>4.9821391581469117</v>
      </c>
    </row>
    <row r="83" spans="1:16">
      <c r="A83" s="3" t="s">
        <v>30</v>
      </c>
      <c r="B83" s="3"/>
      <c r="C83" s="4"/>
      <c r="D83" s="5"/>
      <c r="F83" s="6" t="s">
        <v>2</v>
      </c>
      <c r="G83">
        <v>0.98299999999999998</v>
      </c>
    </row>
    <row r="84" spans="1:16">
      <c r="A84" s="3" t="s">
        <v>3</v>
      </c>
      <c r="B84" s="3"/>
      <c r="C84" s="4"/>
      <c r="D84" s="5">
        <f>150-(F90-E90)</f>
        <v>148.87700000000001</v>
      </c>
      <c r="F84" s="6" t="s">
        <v>4</v>
      </c>
      <c r="G84">
        <v>0.126</v>
      </c>
    </row>
    <row r="85" spans="1:16">
      <c r="A85" s="3" t="s">
        <v>5</v>
      </c>
      <c r="B85" s="3"/>
      <c r="C85" s="4"/>
      <c r="D85" s="5">
        <v>5.8000000000000003E-2</v>
      </c>
    </row>
    <row r="86" spans="1:16">
      <c r="A86" s="3" t="s">
        <v>6</v>
      </c>
      <c r="B86" s="3"/>
      <c r="C86" s="4"/>
      <c r="D86" s="5"/>
    </row>
    <row r="88" spans="1:16">
      <c r="A88" s="7" t="s">
        <v>7</v>
      </c>
      <c r="B88" s="7" t="s">
        <v>8</v>
      </c>
      <c r="C88" s="7" t="s">
        <v>9</v>
      </c>
      <c r="D88" s="7" t="s">
        <v>10</v>
      </c>
      <c r="E88" s="7" t="s">
        <v>11</v>
      </c>
      <c r="F88" s="7" t="s">
        <v>12</v>
      </c>
      <c r="G88" s="7" t="s">
        <v>13</v>
      </c>
      <c r="H88" s="7" t="s">
        <v>14</v>
      </c>
      <c r="I88" s="7" t="s">
        <v>15</v>
      </c>
      <c r="J88" s="7" t="s">
        <v>3</v>
      </c>
      <c r="K88" s="7" t="s">
        <v>16</v>
      </c>
      <c r="L88" s="7" t="s">
        <v>17</v>
      </c>
      <c r="M88" s="7" t="s">
        <v>18</v>
      </c>
      <c r="N88" s="7" t="s">
        <v>19</v>
      </c>
      <c r="O88" s="7" t="s">
        <v>20</v>
      </c>
      <c r="P88" s="7" t="s">
        <v>21</v>
      </c>
    </row>
    <row r="89" spans="1:16" ht="15" thickBot="1">
      <c r="A89" s="8"/>
      <c r="B89" s="8"/>
      <c r="C89" s="8"/>
      <c r="D89" s="8" t="s">
        <v>22</v>
      </c>
      <c r="E89" s="8" t="s">
        <v>23</v>
      </c>
      <c r="F89" s="8" t="s">
        <v>23</v>
      </c>
      <c r="G89" s="8"/>
      <c r="H89" s="8" t="s">
        <v>23</v>
      </c>
      <c r="I89" s="8" t="s">
        <v>23</v>
      </c>
      <c r="J89" s="8" t="s">
        <v>23</v>
      </c>
      <c r="K89" s="8"/>
      <c r="L89" s="8"/>
      <c r="M89" s="8"/>
      <c r="N89" s="8" t="s">
        <v>24</v>
      </c>
      <c r="O89" s="8" t="s">
        <v>25</v>
      </c>
      <c r="P89" s="9"/>
    </row>
    <row r="90" spans="1:16" ht="15" thickTop="1">
      <c r="A90">
        <v>1</v>
      </c>
      <c r="B90" s="10">
        <v>43776</v>
      </c>
      <c r="C90" s="11">
        <v>0.5444444444444444</v>
      </c>
      <c r="D90">
        <v>0</v>
      </c>
      <c r="E90">
        <v>2.1779999999999999</v>
      </c>
      <c r="F90">
        <v>3.3010000000000002</v>
      </c>
      <c r="G90">
        <f>(F90-E90)/(F90-E90+0.0176)</f>
        <v>0.98456952481150262</v>
      </c>
      <c r="H90">
        <v>6.6383000000000001</v>
      </c>
      <c r="I90">
        <v>16.584099999999999</v>
      </c>
      <c r="J90">
        <v>16.6173</v>
      </c>
      <c r="K90">
        <f>(J90-I90)/J90</f>
        <v>1.9979178326202684E-3</v>
      </c>
      <c r="L90">
        <f>K90*G90*(1/2)</f>
        <v>9.835445055376825E-4</v>
      </c>
      <c r="M90">
        <f>(0.025/10)*(1/2)</f>
        <v>1.25E-3</v>
      </c>
      <c r="N90">
        <v>2.1703227795320479</v>
      </c>
      <c r="O90">
        <f>(N90/55.86)/L90</f>
        <v>39.50293651366254</v>
      </c>
      <c r="P90">
        <f t="shared" ref="P90:P96" si="27">(N90/55.86)/M90</f>
        <v>31.082316928493348</v>
      </c>
    </row>
    <row r="91" spans="1:16">
      <c r="A91">
        <v>2</v>
      </c>
      <c r="B91" s="10">
        <v>43776</v>
      </c>
      <c r="C91" s="11">
        <v>0.65208333333333335</v>
      </c>
      <c r="D91">
        <f>3-25/60</f>
        <v>2.5833333333333335</v>
      </c>
      <c r="E91">
        <v>2.218</v>
      </c>
      <c r="F91">
        <v>3.2509999999999999</v>
      </c>
      <c r="G91">
        <f t="shared" ref="G91:G96" si="28">(F91-E91)/(F91-E91+0.0176)</f>
        <v>0.98324766799923846</v>
      </c>
      <c r="H91">
        <v>6.8220000000000001</v>
      </c>
      <c r="I91">
        <v>16.767399999999999</v>
      </c>
      <c r="J91">
        <v>16.801200000000001</v>
      </c>
      <c r="K91">
        <f t="shared" ref="K91:K96" si="29">(J91-I91)/J91</f>
        <v>2.0117610646860303E-3</v>
      </c>
      <c r="L91">
        <f>K91*G91*(1/2)</f>
        <v>9.8902968771210232E-4</v>
      </c>
      <c r="M91">
        <f t="shared" ref="M91:M96" si="30">(0.025/10)*(1/2)</f>
        <v>1.25E-3</v>
      </c>
      <c r="N91">
        <v>1.6600382039440047</v>
      </c>
      <c r="O91">
        <f>(N91/55.86)/L91</f>
        <v>30.047464004585095</v>
      </c>
      <c r="P91">
        <f t="shared" si="27"/>
        <v>23.774267152796345</v>
      </c>
    </row>
    <row r="92" spans="1:16">
      <c r="A92">
        <v>3</v>
      </c>
      <c r="B92" s="10">
        <v>43777</v>
      </c>
      <c r="C92" s="11">
        <v>0.53125</v>
      </c>
      <c r="D92">
        <f>D91+24-3+6/60</f>
        <v>23.683333333333334</v>
      </c>
      <c r="E92">
        <v>6.843</v>
      </c>
      <c r="F92">
        <v>7.8470000000000004</v>
      </c>
      <c r="G92">
        <f t="shared" si="28"/>
        <v>0.98277212216131549</v>
      </c>
      <c r="H92">
        <v>6.6755000000000004</v>
      </c>
      <c r="I92">
        <v>16.600200000000001</v>
      </c>
      <c r="J92">
        <v>16.634399999999999</v>
      </c>
      <c r="K92">
        <f t="shared" si="29"/>
        <v>2.055980378011738E-3</v>
      </c>
      <c r="L92">
        <f t="shared" ref="L92:L96" si="31">K92*G92*(1/2)</f>
        <v>1.0102800996103097E-3</v>
      </c>
      <c r="M92">
        <f t="shared" si="30"/>
        <v>1.25E-3</v>
      </c>
      <c r="N92">
        <v>1.8144100083235803</v>
      </c>
      <c r="O92">
        <f>(N92/55.86)/L92</f>
        <v>32.150868049396969</v>
      </c>
      <c r="P92">
        <f t="shared" si="27"/>
        <v>25.985105740402155</v>
      </c>
    </row>
    <row r="93" spans="1:16">
      <c r="A93">
        <v>4</v>
      </c>
      <c r="B93" s="10">
        <v>43778</v>
      </c>
      <c r="C93" s="11">
        <v>0.53125</v>
      </c>
      <c r="D93">
        <f>D92+4</f>
        <v>27.683333333333334</v>
      </c>
      <c r="E93">
        <v>6.8179999999999996</v>
      </c>
      <c r="F93">
        <v>7.8695000000000004</v>
      </c>
      <c r="G93">
        <f t="shared" si="28"/>
        <v>0.98353755495276396</v>
      </c>
      <c r="H93">
        <v>6.8240999999999996</v>
      </c>
      <c r="I93">
        <v>16.7727</v>
      </c>
      <c r="J93">
        <v>16.645600000000002</v>
      </c>
      <c r="M93">
        <f t="shared" si="30"/>
        <v>1.25E-3</v>
      </c>
      <c r="N93">
        <v>1.7886813742603176</v>
      </c>
    </row>
    <row r="94" spans="1:16">
      <c r="A94">
        <v>5</v>
      </c>
      <c r="B94" s="10">
        <v>43779</v>
      </c>
      <c r="C94" s="11">
        <v>0.57291666666666663</v>
      </c>
      <c r="D94">
        <f>D93+23</f>
        <v>50.683333333333337</v>
      </c>
      <c r="E94">
        <v>6.8490000000000002</v>
      </c>
      <c r="F94">
        <v>7.8845000000000001</v>
      </c>
      <c r="G94">
        <f t="shared" si="28"/>
        <v>0.98328743709049471</v>
      </c>
      <c r="H94">
        <v>6.6501999999999999</v>
      </c>
      <c r="I94">
        <v>16.613</v>
      </c>
      <c r="J94">
        <v>16.806799999999999</v>
      </c>
      <c r="K94">
        <f t="shared" si="29"/>
        <v>1.1531046957183969E-2</v>
      </c>
      <c r="L94">
        <f t="shared" si="31"/>
        <v>5.6691668047497857E-3</v>
      </c>
      <c r="M94">
        <f t="shared" si="30"/>
        <v>1.25E-3</v>
      </c>
      <c r="N94">
        <v>1.801545691291949</v>
      </c>
      <c r="O94">
        <f>(N94/55.86)/L94</f>
        <v>5.6888582749537182</v>
      </c>
      <c r="P94">
        <f t="shared" si="27"/>
        <v>25.800869191434998</v>
      </c>
    </row>
    <row r="95" spans="1:16">
      <c r="A95">
        <v>6</v>
      </c>
      <c r="B95" s="10">
        <v>43780</v>
      </c>
      <c r="C95" s="11">
        <v>0.52083333333333337</v>
      </c>
      <c r="D95">
        <f>D94+23-25/60</f>
        <v>73.266666666666666</v>
      </c>
      <c r="E95">
        <v>6.86</v>
      </c>
      <c r="F95">
        <v>7.9080000000000004</v>
      </c>
      <c r="G95">
        <f t="shared" si="28"/>
        <v>0.98348348348348347</v>
      </c>
      <c r="H95">
        <v>6.8217999999999996</v>
      </c>
      <c r="I95">
        <v>16.752800000000001</v>
      </c>
      <c r="J95">
        <v>16.786100000000001</v>
      </c>
      <c r="K95">
        <f t="shared" si="29"/>
        <v>1.9837842024055946E-3</v>
      </c>
      <c r="L95">
        <f t="shared" si="31"/>
        <v>9.7550949893067905E-4</v>
      </c>
      <c r="M95">
        <f t="shared" si="30"/>
        <v>1.25E-3</v>
      </c>
      <c r="N95">
        <v>1.7972575856147386</v>
      </c>
      <c r="O95">
        <f>(N95/55.86)/L95</f>
        <v>32.982068648050948</v>
      </c>
      <c r="P95">
        <f t="shared" si="27"/>
        <v>25.739457008445953</v>
      </c>
    </row>
    <row r="96" spans="1:16">
      <c r="A96">
        <v>7</v>
      </c>
      <c r="B96" s="10">
        <v>43781</v>
      </c>
      <c r="C96" s="11">
        <v>0.50694444444444442</v>
      </c>
      <c r="D96">
        <f>D95+24-20/60</f>
        <v>96.933333333333337</v>
      </c>
      <c r="E96">
        <v>6.7119999999999997</v>
      </c>
      <c r="F96">
        <v>7.7690999999999999</v>
      </c>
      <c r="G96">
        <f t="shared" si="28"/>
        <v>0.98362333674513813</v>
      </c>
      <c r="H96">
        <v>6.6576000000000004</v>
      </c>
      <c r="I96">
        <v>16.6069</v>
      </c>
      <c r="J96">
        <v>16.639700000000001</v>
      </c>
      <c r="K96">
        <f t="shared" si="29"/>
        <v>1.971189384424101E-3</v>
      </c>
      <c r="L96">
        <f t="shared" si="31"/>
        <v>9.6945393983191455E-4</v>
      </c>
      <c r="M96">
        <f t="shared" si="30"/>
        <v>1.25E-3</v>
      </c>
      <c r="N96">
        <v>1.6428857812351629</v>
      </c>
      <c r="O96">
        <f>(N96/55.86)/L96</f>
        <v>30.337462996075359</v>
      </c>
      <c r="P96">
        <f t="shared" si="27"/>
        <v>23.528618420840139</v>
      </c>
    </row>
  </sheetData>
  <mergeCells count="24">
    <mergeCell ref="A69:C69"/>
    <mergeCell ref="A70:C70"/>
    <mergeCell ref="A83:C83"/>
    <mergeCell ref="A84:C84"/>
    <mergeCell ref="A85:C85"/>
    <mergeCell ref="A86:C86"/>
    <mergeCell ref="A51:C51"/>
    <mergeCell ref="A52:C52"/>
    <mergeCell ref="A53:C53"/>
    <mergeCell ref="A54:C54"/>
    <mergeCell ref="A67:C67"/>
    <mergeCell ref="A68:C68"/>
    <mergeCell ref="A21:C21"/>
    <mergeCell ref="A22:C22"/>
    <mergeCell ref="A35:C35"/>
    <mergeCell ref="A36:C36"/>
    <mergeCell ref="A37:C37"/>
    <mergeCell ref="A38:C38"/>
    <mergeCell ref="A3:C3"/>
    <mergeCell ref="A4:C4"/>
    <mergeCell ref="A5:C5"/>
    <mergeCell ref="A6:C6"/>
    <mergeCell ref="A19:C19"/>
    <mergeCell ref="A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3E82-FB98-43C2-8C67-5F872352DDFC}">
  <dimension ref="A1:T61"/>
  <sheetViews>
    <sheetView workbookViewId="0">
      <selection activeCell="F54" sqref="F54:K67"/>
    </sheetView>
  </sheetViews>
  <sheetFormatPr defaultColWidth="11.6328125" defaultRowHeight="14.5"/>
  <cols>
    <col min="1" max="1" width="16.54296875" customWidth="1"/>
    <col min="2" max="2" width="12.90625" customWidth="1"/>
    <col min="5" max="5" width="15.6328125" bestFit="1" customWidth="1"/>
    <col min="6" max="6" width="19.81640625" bestFit="1" customWidth="1"/>
    <col min="7" max="7" width="21.81640625" bestFit="1" customWidth="1"/>
    <col min="8" max="8" width="24.26953125" bestFit="1" customWidth="1"/>
    <col min="9" max="9" width="22.54296875" bestFit="1" customWidth="1"/>
    <col min="10" max="10" width="18.90625" bestFit="1" customWidth="1"/>
    <col min="11" max="12" width="24.26953125" bestFit="1" customWidth="1"/>
    <col min="13" max="13" width="24.26953125" customWidth="1"/>
    <col min="14" max="15" width="19.6328125" bestFit="1" customWidth="1"/>
    <col min="16" max="17" width="17.08984375" bestFit="1" customWidth="1"/>
    <col min="18" max="18" width="18" bestFit="1" customWidth="1"/>
  </cols>
  <sheetData>
    <row r="1" spans="1:20" s="14" customFormat="1" ht="18.5">
      <c r="A1" s="13" t="s">
        <v>31</v>
      </c>
    </row>
    <row r="4" spans="1:20" ht="15.5">
      <c r="A4" s="15" t="s">
        <v>32</v>
      </c>
      <c r="B4" s="16"/>
      <c r="C4">
        <v>0.308</v>
      </c>
    </row>
    <row r="5" spans="1:20" ht="15.5">
      <c r="A5" s="15" t="s">
        <v>33</v>
      </c>
      <c r="B5" s="16"/>
      <c r="C5">
        <v>62790</v>
      </c>
      <c r="E5" t="s">
        <v>34</v>
      </c>
    </row>
    <row r="6" spans="1:20" ht="15.5">
      <c r="A6" s="15" t="s">
        <v>35</v>
      </c>
      <c r="B6" s="16"/>
      <c r="C6">
        <f>(AVERAGE(H16:H20)-AVERAGE(G16:G20))/(16*60)</f>
        <v>1.0527083333333334E-3</v>
      </c>
    </row>
    <row r="7" spans="1:20" ht="15.5">
      <c r="A7" s="15" t="s">
        <v>36</v>
      </c>
      <c r="B7" s="16"/>
      <c r="C7" s="11"/>
    </row>
    <row r="8" spans="1:20" ht="15.5">
      <c r="A8" s="15" t="s">
        <v>37</v>
      </c>
      <c r="B8" s="16"/>
      <c r="C8" s="17"/>
    </row>
    <row r="9" spans="1:20" ht="15.5">
      <c r="A9" s="18"/>
      <c r="B9" s="18"/>
    </row>
    <row r="10" spans="1:20" ht="15.5">
      <c r="A10" s="18"/>
      <c r="B10" s="18"/>
    </row>
    <row r="11" spans="1:20" ht="15.5">
      <c r="A11" s="19" t="s">
        <v>38</v>
      </c>
      <c r="B11" s="20"/>
      <c r="C11" s="20"/>
      <c r="D11" s="20"/>
      <c r="E11" s="20"/>
      <c r="F11" s="21" t="s">
        <v>39</v>
      </c>
      <c r="G11" s="22"/>
      <c r="H11" s="22"/>
      <c r="I11" s="22"/>
      <c r="J11" s="23" t="s">
        <v>40</v>
      </c>
      <c r="K11" s="23"/>
      <c r="L11" s="24"/>
      <c r="M11" s="24"/>
      <c r="N11" s="25" t="s">
        <v>41</v>
      </c>
      <c r="O11" s="26"/>
      <c r="P11" s="26"/>
      <c r="Q11" s="26"/>
      <c r="R11" s="27" t="s">
        <v>42</v>
      </c>
      <c r="S11" s="27"/>
      <c r="T11" s="27"/>
    </row>
    <row r="12" spans="1:20" ht="15.5">
      <c r="A12" s="28" t="s">
        <v>7</v>
      </c>
      <c r="B12" s="28" t="s">
        <v>8</v>
      </c>
      <c r="C12" s="28" t="s">
        <v>9</v>
      </c>
      <c r="D12" s="28" t="s">
        <v>9</v>
      </c>
      <c r="E12" s="28" t="s">
        <v>9</v>
      </c>
      <c r="F12" s="29" t="s">
        <v>43</v>
      </c>
      <c r="G12" s="29" t="s">
        <v>44</v>
      </c>
      <c r="H12" s="29" t="s">
        <v>45</v>
      </c>
      <c r="I12" s="29" t="s">
        <v>46</v>
      </c>
      <c r="J12" s="30" t="s">
        <v>43</v>
      </c>
      <c r="K12" s="30" t="s">
        <v>44</v>
      </c>
      <c r="L12" s="30" t="s">
        <v>45</v>
      </c>
      <c r="M12" s="30" t="s">
        <v>47</v>
      </c>
      <c r="N12" s="31" t="s">
        <v>48</v>
      </c>
      <c r="O12" s="31" t="s">
        <v>49</v>
      </c>
      <c r="P12" s="31" t="s">
        <v>50</v>
      </c>
      <c r="Q12" s="31" t="s">
        <v>51</v>
      </c>
      <c r="R12" s="32" t="s">
        <v>52</v>
      </c>
      <c r="S12" s="33"/>
      <c r="T12" s="33"/>
    </row>
    <row r="13" spans="1:20" ht="16" thickBot="1">
      <c r="A13" s="34"/>
      <c r="B13" s="34"/>
      <c r="C13" s="35"/>
      <c r="D13" s="35" t="s">
        <v>53</v>
      </c>
      <c r="E13" s="35" t="s">
        <v>54</v>
      </c>
      <c r="F13" s="36" t="s">
        <v>55</v>
      </c>
      <c r="G13" s="36" t="s">
        <v>55</v>
      </c>
      <c r="H13" s="36" t="s">
        <v>55</v>
      </c>
      <c r="I13" s="36"/>
      <c r="J13" s="37" t="s">
        <v>55</v>
      </c>
      <c r="K13" s="37" t="s">
        <v>55</v>
      </c>
      <c r="L13" s="37" t="s">
        <v>55</v>
      </c>
      <c r="M13" s="37"/>
      <c r="N13" s="38" t="s">
        <v>24</v>
      </c>
      <c r="O13" s="38" t="s">
        <v>25</v>
      </c>
      <c r="P13" s="38" t="s">
        <v>24</v>
      </c>
      <c r="Q13" s="38" t="s">
        <v>25</v>
      </c>
      <c r="R13" s="39" t="s">
        <v>56</v>
      </c>
      <c r="S13" s="40"/>
      <c r="T13" s="40"/>
    </row>
    <row r="14" spans="1:20" ht="15" thickTop="1">
      <c r="A14">
        <v>1</v>
      </c>
      <c r="B14" s="41">
        <v>43750</v>
      </c>
      <c r="C14" s="11">
        <v>0.49652777777777773</v>
      </c>
      <c r="D14" s="17">
        <f>5/60</f>
        <v>8.3333333333333329E-2</v>
      </c>
      <c r="E14">
        <f>D14*60*60</f>
        <v>300</v>
      </c>
      <c r="F14">
        <v>6.67</v>
      </c>
      <c r="G14">
        <v>15.551</v>
      </c>
      <c r="H14">
        <v>16.774000000000001</v>
      </c>
      <c r="I14">
        <f>(H14-G14)/(G14-F14)</f>
        <v>0.13770971737416965</v>
      </c>
      <c r="J14">
        <v>6.6029999999999998</v>
      </c>
      <c r="K14">
        <v>16.422999999999998</v>
      </c>
      <c r="L14">
        <v>16.652999999999999</v>
      </c>
      <c r="M14">
        <f>(L14-K14)/(K14-J14)</f>
        <v>2.342158859470473E-2</v>
      </c>
      <c r="N14">
        <v>1.5635761412469631</v>
      </c>
      <c r="O14">
        <f>N14/55.84/I14/M14</f>
        <v>8.6814584304818556</v>
      </c>
      <c r="P14">
        <v>1.3597049568416453</v>
      </c>
      <c r="Q14">
        <f>P14/55.84/I14/M14</f>
        <v>7.5495025468519348</v>
      </c>
      <c r="R14">
        <f t="shared" ref="R14:R19" si="0">(P14/10000000)*$C$6/($C$4*$C$5)</f>
        <v>7.4013602284973856E-15</v>
      </c>
    </row>
    <row r="15" spans="1:20">
      <c r="A15">
        <v>2</v>
      </c>
      <c r="B15" s="41">
        <v>43750</v>
      </c>
      <c r="C15" s="11">
        <v>0.62152777777777779</v>
      </c>
      <c r="D15" s="17">
        <f>D14+3</f>
        <v>3.0833333333333335</v>
      </c>
      <c r="E15">
        <f t="shared" ref="E15:E20" si="1">D15*60*60</f>
        <v>11100</v>
      </c>
      <c r="F15">
        <v>6.577</v>
      </c>
      <c r="G15">
        <v>15.461</v>
      </c>
      <c r="H15">
        <v>16.742999999999999</v>
      </c>
      <c r="I15">
        <f t="shared" ref="I15:I20" si="2">(H15-G15)/(G15-F15)</f>
        <v>0.14430436740207095</v>
      </c>
      <c r="J15">
        <v>6.6070000000000002</v>
      </c>
      <c r="K15">
        <v>16.440999999999999</v>
      </c>
      <c r="L15">
        <v>16.646999999999998</v>
      </c>
      <c r="M15">
        <f t="shared" ref="M15:M20" si="3">(L15-K15)/(K15-J15)</f>
        <v>2.0947732357128282E-2</v>
      </c>
      <c r="N15">
        <v>1.5536611643740141</v>
      </c>
      <c r="O15">
        <f t="shared" ref="O15:O20" si="4">N15/55.84/I15/M15</f>
        <v>9.2043772181746899</v>
      </c>
      <c r="P15">
        <v>1.3319730884036196</v>
      </c>
      <c r="Q15">
        <f t="shared" ref="Q15:Q20" si="5">P15/55.84/I15/M15</f>
        <v>7.8910273560604391</v>
      </c>
      <c r="R15">
        <f t="shared" si="0"/>
        <v>7.2504057533472064E-15</v>
      </c>
    </row>
    <row r="16" spans="1:20">
      <c r="A16">
        <v>3</v>
      </c>
      <c r="B16" s="41">
        <v>43750</v>
      </c>
      <c r="C16" s="11">
        <v>0.74652777777777779</v>
      </c>
      <c r="D16" s="17">
        <f>D15+3</f>
        <v>6.0833333333333339</v>
      </c>
      <c r="E16">
        <f t="shared" si="1"/>
        <v>21900.000000000004</v>
      </c>
      <c r="F16">
        <v>6.6870000000000003</v>
      </c>
      <c r="G16">
        <v>15.468</v>
      </c>
      <c r="H16">
        <v>16.852</v>
      </c>
      <c r="I16">
        <f t="shared" si="2"/>
        <v>0.15761302812891476</v>
      </c>
      <c r="J16">
        <v>6.6070000000000002</v>
      </c>
      <c r="K16">
        <v>16.446999999999999</v>
      </c>
      <c r="L16">
        <v>16.643000000000001</v>
      </c>
      <c r="M16">
        <f t="shared" si="3"/>
        <v>1.9918699186992024E-2</v>
      </c>
      <c r="N16" s="12">
        <v>1.7370882365235698</v>
      </c>
      <c r="O16">
        <f t="shared" si="4"/>
        <v>9.9088529581198923</v>
      </c>
      <c r="P16">
        <v>1.4891203428857658</v>
      </c>
      <c r="Q16">
        <f t="shared" si="5"/>
        <v>8.4943724816939756</v>
      </c>
      <c r="R16">
        <f t="shared" si="0"/>
        <v>8.1058144458648833E-15</v>
      </c>
    </row>
    <row r="17" spans="1:18">
      <c r="A17">
        <v>4</v>
      </c>
      <c r="B17" s="41">
        <v>43751</v>
      </c>
      <c r="C17" s="11">
        <v>0.45833333333333331</v>
      </c>
      <c r="D17" s="17">
        <f>D14+24-55/60</f>
        <v>23.166666666666664</v>
      </c>
      <c r="E17">
        <f t="shared" si="1"/>
        <v>83399.999999999985</v>
      </c>
      <c r="F17">
        <v>6.6289999999999996</v>
      </c>
      <c r="G17">
        <v>15.534000000000001</v>
      </c>
      <c r="H17">
        <v>16.911000000000001</v>
      </c>
      <c r="I17">
        <f t="shared" si="2"/>
        <v>0.15463222908478388</v>
      </c>
      <c r="J17">
        <v>6.6130000000000004</v>
      </c>
      <c r="K17">
        <v>16.483000000000001</v>
      </c>
      <c r="L17">
        <v>16.635000000000002</v>
      </c>
      <c r="M17">
        <f t="shared" si="3"/>
        <v>1.540020263424529E-2</v>
      </c>
      <c r="N17" s="12">
        <v>1.8114505630706872</v>
      </c>
      <c r="O17">
        <f t="shared" si="4"/>
        <v>13.622431247737829</v>
      </c>
      <c r="P17">
        <v>1.572315948199843</v>
      </c>
      <c r="Q17">
        <f t="shared" si="5"/>
        <v>11.824096302007808</v>
      </c>
      <c r="R17">
        <f t="shared" si="0"/>
        <v>8.5586778713154162E-15</v>
      </c>
    </row>
    <row r="18" spans="1:18">
      <c r="A18">
        <v>5</v>
      </c>
      <c r="B18" s="41">
        <v>43751</v>
      </c>
      <c r="C18" s="11">
        <v>0.75</v>
      </c>
      <c r="D18" s="17">
        <f>D17+7</f>
        <v>30.166666666666664</v>
      </c>
      <c r="E18">
        <f t="shared" si="1"/>
        <v>108599.99999999999</v>
      </c>
      <c r="F18">
        <v>6.593</v>
      </c>
      <c r="G18">
        <v>15.500999999999999</v>
      </c>
      <c r="H18">
        <v>16.303000000000001</v>
      </c>
      <c r="I18">
        <f t="shared" si="2"/>
        <v>9.0031432420296528E-2</v>
      </c>
      <c r="J18">
        <v>6.617</v>
      </c>
      <c r="K18">
        <v>16.465</v>
      </c>
      <c r="L18">
        <v>16.632999999999999</v>
      </c>
      <c r="M18">
        <f t="shared" si="3"/>
        <v>1.7059301380990991E-2</v>
      </c>
      <c r="N18" s="12">
        <v>1.1322746472736831</v>
      </c>
      <c r="O18">
        <f t="shared" si="4"/>
        <v>13.202341789296508</v>
      </c>
      <c r="P18">
        <v>1.0130566013663234</v>
      </c>
      <c r="Q18">
        <f t="shared" si="5"/>
        <v>11.812257331156589</v>
      </c>
      <c r="R18">
        <f t="shared" si="0"/>
        <v>5.514429289120163E-15</v>
      </c>
    </row>
    <row r="19" spans="1:18">
      <c r="A19">
        <v>6</v>
      </c>
      <c r="B19" s="41">
        <v>43752</v>
      </c>
      <c r="C19" s="11">
        <v>0.40972222222222227</v>
      </c>
      <c r="D19" s="17">
        <f>D17+22+5/6</f>
        <v>46</v>
      </c>
      <c r="E19">
        <f t="shared" si="1"/>
        <v>165600</v>
      </c>
      <c r="F19">
        <v>6.609</v>
      </c>
      <c r="G19">
        <v>15.515000000000001</v>
      </c>
      <c r="H19">
        <v>16.001999999999999</v>
      </c>
      <c r="I19">
        <f t="shared" si="2"/>
        <v>5.4682236694363159E-2</v>
      </c>
      <c r="J19">
        <v>6.7060000000000004</v>
      </c>
      <c r="K19">
        <v>16.577000000000002</v>
      </c>
      <c r="L19">
        <v>16.763000000000002</v>
      </c>
      <c r="M19">
        <f t="shared" si="3"/>
        <v>1.8843075676223269E-2</v>
      </c>
      <c r="N19" s="12">
        <v>0.58199343082501576</v>
      </c>
      <c r="O19">
        <f t="shared" si="4"/>
        <v>10.115203170648662</v>
      </c>
      <c r="P19">
        <v>0.54161483791988507</v>
      </c>
      <c r="Q19">
        <f t="shared" si="5"/>
        <v>9.4134123095365005</v>
      </c>
      <c r="R19">
        <f t="shared" si="0"/>
        <v>2.9482032115671375E-15</v>
      </c>
    </row>
    <row r="20" spans="1:18">
      <c r="A20">
        <v>7</v>
      </c>
      <c r="B20" s="41">
        <v>43752</v>
      </c>
      <c r="C20" s="11">
        <v>0.60416666666666663</v>
      </c>
      <c r="D20" s="17">
        <f>D19+4/6</f>
        <v>46.666666666666664</v>
      </c>
      <c r="E20">
        <f t="shared" si="1"/>
        <v>168000</v>
      </c>
      <c r="F20">
        <v>6.6130000000000004</v>
      </c>
      <c r="G20">
        <v>15.499000000000001</v>
      </c>
      <c r="H20">
        <v>16.501999999999999</v>
      </c>
      <c r="I20">
        <f t="shared" si="2"/>
        <v>0.11287418410983552</v>
      </c>
      <c r="J20">
        <v>6.6349999999999998</v>
      </c>
      <c r="K20">
        <v>16.497</v>
      </c>
      <c r="L20" s="12">
        <v>16.681000000000001</v>
      </c>
      <c r="M20">
        <f t="shared" si="3"/>
        <v>1.8657473129182828E-2</v>
      </c>
      <c r="N20" s="12">
        <v>1.0033799479253467</v>
      </c>
      <c r="O20">
        <f t="shared" si="4"/>
        <v>8.5324265627598077</v>
      </c>
      <c r="P20">
        <v>0.88826319339520732</v>
      </c>
      <c r="Q20">
        <f t="shared" si="5"/>
        <v>7.5535099956083771</v>
      </c>
    </row>
    <row r="21" spans="1:18">
      <c r="L21" s="12"/>
    </row>
    <row r="22" spans="1:18">
      <c r="L22" s="12"/>
    </row>
    <row r="24" spans="1:18" s="14" customFormat="1" ht="18.5">
      <c r="A24" s="13" t="s">
        <v>57</v>
      </c>
    </row>
    <row r="27" spans="1:18" ht="15.5">
      <c r="A27" s="15" t="s">
        <v>32</v>
      </c>
      <c r="B27" s="16"/>
      <c r="C27">
        <v>0.30299999999999999</v>
      </c>
    </row>
    <row r="28" spans="1:18" ht="15.5">
      <c r="A28" s="15" t="s">
        <v>33</v>
      </c>
      <c r="B28" s="16"/>
      <c r="C28">
        <v>62790</v>
      </c>
      <c r="E28" t="s">
        <v>34</v>
      </c>
    </row>
    <row r="29" spans="1:18" ht="15.5">
      <c r="A29" s="15" t="s">
        <v>35</v>
      </c>
      <c r="B29" s="16"/>
      <c r="C29">
        <f>(AVERAGE(H41:H45)-AVERAGE(G41:G45))/(16*60)</f>
        <v>1.1131250000000037E-3</v>
      </c>
    </row>
    <row r="30" spans="1:18" ht="15.5">
      <c r="A30" s="15" t="s">
        <v>36</v>
      </c>
      <c r="B30" s="16"/>
      <c r="C30" s="11" t="s">
        <v>58</v>
      </c>
    </row>
    <row r="31" spans="1:18" ht="15.5">
      <c r="A31" s="15" t="s">
        <v>37</v>
      </c>
      <c r="B31" s="16"/>
      <c r="C31" s="17"/>
    </row>
    <row r="32" spans="1:18" ht="15.5">
      <c r="A32" s="18"/>
      <c r="B32" s="18"/>
      <c r="C32" s="17"/>
    </row>
    <row r="33" spans="1:20" ht="15.5">
      <c r="A33" s="18"/>
      <c r="B33" s="18"/>
    </row>
    <row r="34" spans="1:20" ht="15.5">
      <c r="A34" s="19" t="s">
        <v>38</v>
      </c>
      <c r="B34" s="20"/>
      <c r="C34" s="20"/>
      <c r="D34" s="20"/>
      <c r="E34" s="20"/>
      <c r="F34" s="21" t="s">
        <v>39</v>
      </c>
      <c r="G34" s="22"/>
      <c r="H34" s="22"/>
      <c r="I34" s="22"/>
      <c r="J34" s="23" t="s">
        <v>40</v>
      </c>
      <c r="K34" s="23"/>
      <c r="L34" s="24"/>
      <c r="M34" s="24"/>
      <c r="N34" s="25" t="s">
        <v>41</v>
      </c>
      <c r="O34" s="26"/>
      <c r="P34" s="26"/>
      <c r="Q34" s="26"/>
      <c r="R34" s="27" t="s">
        <v>42</v>
      </c>
      <c r="S34" s="27"/>
      <c r="T34" s="27"/>
    </row>
    <row r="35" spans="1:20" ht="15.5">
      <c r="A35" s="28" t="s">
        <v>7</v>
      </c>
      <c r="B35" s="28" t="s">
        <v>8</v>
      </c>
      <c r="C35" s="28" t="s">
        <v>9</v>
      </c>
      <c r="D35" s="28" t="s">
        <v>9</v>
      </c>
      <c r="E35" s="28" t="s">
        <v>9</v>
      </c>
      <c r="F35" s="29" t="s">
        <v>43</v>
      </c>
      <c r="G35" s="29" t="s">
        <v>44</v>
      </c>
      <c r="H35" s="29" t="s">
        <v>59</v>
      </c>
      <c r="I35" s="29" t="s">
        <v>46</v>
      </c>
      <c r="J35" s="30" t="s">
        <v>43</v>
      </c>
      <c r="K35" s="30" t="s">
        <v>44</v>
      </c>
      <c r="L35" s="30" t="s">
        <v>59</v>
      </c>
      <c r="M35" s="30" t="s">
        <v>47</v>
      </c>
      <c r="N35" s="31" t="s">
        <v>48</v>
      </c>
      <c r="O35" s="31" t="s">
        <v>49</v>
      </c>
      <c r="P35" s="31" t="s">
        <v>50</v>
      </c>
      <c r="Q35" s="31" t="s">
        <v>51</v>
      </c>
      <c r="R35" s="32" t="s">
        <v>52</v>
      </c>
      <c r="S35" s="33"/>
      <c r="T35" s="33"/>
    </row>
    <row r="36" spans="1:20" ht="16" thickBot="1">
      <c r="A36" s="34"/>
      <c r="B36" s="34"/>
      <c r="C36" s="35"/>
      <c r="D36" s="35" t="s">
        <v>53</v>
      </c>
      <c r="E36" s="35" t="s">
        <v>54</v>
      </c>
      <c r="F36" s="36" t="s">
        <v>55</v>
      </c>
      <c r="G36" s="36" t="s">
        <v>55</v>
      </c>
      <c r="H36" s="36" t="s">
        <v>55</v>
      </c>
      <c r="I36" s="36"/>
      <c r="J36" s="37" t="s">
        <v>55</v>
      </c>
      <c r="K36" s="37" t="s">
        <v>55</v>
      </c>
      <c r="L36" s="37" t="s">
        <v>55</v>
      </c>
      <c r="M36" s="37"/>
      <c r="N36" s="38" t="s">
        <v>24</v>
      </c>
      <c r="O36" s="38" t="s">
        <v>25</v>
      </c>
      <c r="P36" s="38" t="s">
        <v>24</v>
      </c>
      <c r="Q36" s="38" t="s">
        <v>25</v>
      </c>
      <c r="R36" s="39" t="s">
        <v>56</v>
      </c>
      <c r="S36" s="40"/>
      <c r="T36" s="40"/>
    </row>
    <row r="37" spans="1:20" ht="15" thickTop="1">
      <c r="A37">
        <v>1</v>
      </c>
      <c r="B37" s="41">
        <v>43750</v>
      </c>
      <c r="C37" s="11">
        <v>0.49652777777777773</v>
      </c>
      <c r="D37" s="17">
        <f>5/60</f>
        <v>8.3333333333333329E-2</v>
      </c>
      <c r="E37">
        <f>D37*60*60</f>
        <v>300</v>
      </c>
      <c r="F37">
        <v>6.6550000000000002</v>
      </c>
      <c r="G37">
        <v>15.538</v>
      </c>
      <c r="H37">
        <v>17.396999999999998</v>
      </c>
      <c r="I37">
        <f>(H37-G37)/(G37-F37)</f>
        <v>0.20927614544635803</v>
      </c>
      <c r="J37">
        <v>6.673</v>
      </c>
      <c r="K37">
        <v>16.495000000000001</v>
      </c>
      <c r="L37">
        <v>16.594999999999999</v>
      </c>
      <c r="M37">
        <f>(L37-K37)/(K37-J37)</f>
        <v>1.018122581958846E-2</v>
      </c>
      <c r="N37" s="12">
        <v>0.54233352333321994</v>
      </c>
      <c r="O37">
        <f>N37/55.84/I37/M37</f>
        <v>4.55828256049214</v>
      </c>
      <c r="P37">
        <v>0.52312692562786789</v>
      </c>
      <c r="Q37">
        <f>P37/55.84/I37/M37</f>
        <v>4.3968521941216245</v>
      </c>
      <c r="R37">
        <f>(O37/10000000)*$C$6/($C$4*$C$5)</f>
        <v>2.4812361743422626E-14</v>
      </c>
    </row>
    <row r="38" spans="1:20">
      <c r="A38">
        <v>2</v>
      </c>
      <c r="B38" s="41">
        <v>43750</v>
      </c>
      <c r="C38" s="11">
        <v>0.62152777777777779</v>
      </c>
      <c r="D38" s="17">
        <f>D37+3</f>
        <v>3.0833333333333335</v>
      </c>
      <c r="E38">
        <f t="shared" ref="E38:E49" si="6">D38*60*60</f>
        <v>11100</v>
      </c>
      <c r="F38">
        <v>6.6230000000000002</v>
      </c>
      <c r="G38">
        <v>15.535</v>
      </c>
      <c r="H38">
        <v>17.353000000000002</v>
      </c>
      <c r="I38">
        <f t="shared" ref="I38:I49" si="7">(H38-G38)/(G38-F38)</f>
        <v>0.20399461400359084</v>
      </c>
      <c r="J38">
        <v>6.7130000000000001</v>
      </c>
      <c r="K38">
        <v>16.542999999999999</v>
      </c>
      <c r="L38">
        <v>16.75</v>
      </c>
      <c r="M38">
        <f t="shared" ref="M38:M51" si="8">(L38-K38)/(K38-J38)</f>
        <v>2.1057985757884107E-2</v>
      </c>
      <c r="N38" s="12">
        <v>1.3603191153515093</v>
      </c>
      <c r="O38">
        <f t="shared" ref="O38:O51" si="9">N38/55.84/I38/M38</f>
        <v>5.6710028110231541</v>
      </c>
      <c r="P38">
        <v>1.211801658505508</v>
      </c>
      <c r="Q38">
        <f t="shared" ref="Q38:Q51" si="10">P38/55.84/I38/M38</f>
        <v>5.0518518296432839</v>
      </c>
      <c r="R38">
        <f t="shared" ref="R38:R49" si="11">(O38/10000000)*$C$6/($C$4*$C$5)</f>
        <v>3.0869295908650531E-14</v>
      </c>
    </row>
    <row r="39" spans="1:20">
      <c r="A39">
        <v>3</v>
      </c>
      <c r="B39" s="41">
        <v>43750</v>
      </c>
      <c r="C39" s="11">
        <v>0.74652777777777779</v>
      </c>
      <c r="D39" s="17">
        <f>D38+3</f>
        <v>6.0833333333333339</v>
      </c>
      <c r="E39">
        <f t="shared" si="6"/>
        <v>21900.000000000004</v>
      </c>
      <c r="F39">
        <v>6.6369999999999996</v>
      </c>
      <c r="G39">
        <v>15.537000000000001</v>
      </c>
      <c r="H39">
        <v>17.463999999999999</v>
      </c>
      <c r="I39">
        <f t="shared" si="7"/>
        <v>0.21651685393258396</v>
      </c>
      <c r="J39">
        <v>6.665</v>
      </c>
      <c r="K39">
        <v>16.501000000000001</v>
      </c>
      <c r="L39">
        <v>16.696999999999999</v>
      </c>
      <c r="M39">
        <f t="shared" si="8"/>
        <v>1.9926799511996534E-2</v>
      </c>
      <c r="N39" s="12">
        <v>2.1832621958062735</v>
      </c>
      <c r="O39">
        <f t="shared" si="9"/>
        <v>9.0621495703341797</v>
      </c>
      <c r="P39">
        <v>1.8866104571641351</v>
      </c>
      <c r="Q39">
        <f t="shared" si="10"/>
        <v>7.8308258974200529</v>
      </c>
      <c r="R39">
        <f t="shared" si="11"/>
        <v>4.9328520188940856E-14</v>
      </c>
    </row>
    <row r="40" spans="1:20">
      <c r="A40">
        <v>4</v>
      </c>
      <c r="B40" s="41">
        <v>43751</v>
      </c>
      <c r="C40" s="11">
        <v>0.45833333333333331</v>
      </c>
      <c r="D40" s="17">
        <f>D37+24-55/60</f>
        <v>23.166666666666664</v>
      </c>
      <c r="E40">
        <f t="shared" si="6"/>
        <v>83399.999999999985</v>
      </c>
      <c r="F40">
        <v>6.5709999999999997</v>
      </c>
      <c r="G40">
        <v>15.516</v>
      </c>
      <c r="H40">
        <v>17.035</v>
      </c>
      <c r="I40">
        <f t="shared" si="7"/>
        <v>0.16981553940749022</v>
      </c>
      <c r="J40">
        <v>6.657</v>
      </c>
      <c r="K40">
        <v>16.504999999999999</v>
      </c>
      <c r="L40">
        <v>16.706</v>
      </c>
      <c r="M40">
        <f t="shared" si="8"/>
        <v>2.0410235580828648E-2</v>
      </c>
      <c r="N40" s="12">
        <v>3.5564864927097042</v>
      </c>
      <c r="O40">
        <f t="shared" si="9"/>
        <v>18.375971454357693</v>
      </c>
      <c r="P40">
        <v>3.055970909634222</v>
      </c>
      <c r="Q40">
        <f t="shared" si="10"/>
        <v>15.789862921143873</v>
      </c>
      <c r="R40">
        <f t="shared" si="11"/>
        <v>1.0002698276411891E-13</v>
      </c>
    </row>
    <row r="41" spans="1:20">
      <c r="A41">
        <v>5</v>
      </c>
      <c r="B41" s="41">
        <v>43751</v>
      </c>
      <c r="C41" s="11">
        <v>0.75</v>
      </c>
      <c r="D41" s="17">
        <f>D40+7</f>
        <v>30.166666666666664</v>
      </c>
      <c r="E41">
        <f t="shared" si="6"/>
        <v>108599.99999999999</v>
      </c>
      <c r="F41">
        <v>6.7539999999999996</v>
      </c>
      <c r="G41">
        <v>15.472</v>
      </c>
      <c r="H41">
        <v>16.532</v>
      </c>
      <c r="I41">
        <f t="shared" si="7"/>
        <v>0.12158752007341139</v>
      </c>
      <c r="J41">
        <v>6.5839999999999996</v>
      </c>
      <c r="K41">
        <v>16.414000000000001</v>
      </c>
      <c r="L41">
        <v>16.614999999999998</v>
      </c>
      <c r="M41">
        <f t="shared" si="8"/>
        <v>2.0447609359104467E-2</v>
      </c>
      <c r="N41" s="12">
        <v>2.5451588516689103</v>
      </c>
      <c r="O41">
        <f t="shared" si="9"/>
        <v>18.333185951694801</v>
      </c>
      <c r="P41">
        <v>2.3349423302455521</v>
      </c>
      <c r="Q41">
        <f t="shared" si="10"/>
        <v>16.81896275307372</v>
      </c>
      <c r="R41">
        <f t="shared" si="11"/>
        <v>9.9794085975611961E-14</v>
      </c>
    </row>
    <row r="42" spans="1:20">
      <c r="A42">
        <v>6</v>
      </c>
      <c r="B42" s="41">
        <v>43752</v>
      </c>
      <c r="C42" s="11">
        <v>0.40972222222222227</v>
      </c>
      <c r="D42" s="17">
        <f>D40+22+5/6</f>
        <v>46</v>
      </c>
      <c r="E42">
        <f t="shared" si="6"/>
        <v>165600</v>
      </c>
      <c r="F42">
        <v>6.6349999999999998</v>
      </c>
      <c r="G42">
        <v>15.662000000000001</v>
      </c>
      <c r="H42">
        <v>17.206</v>
      </c>
      <c r="I42">
        <f t="shared" si="7"/>
        <v>0.17104242827074317</v>
      </c>
      <c r="J42">
        <v>6.593</v>
      </c>
      <c r="K42">
        <v>16.443000000000001</v>
      </c>
      <c r="L42">
        <v>16.643000000000001</v>
      </c>
      <c r="M42">
        <f t="shared" si="8"/>
        <v>2.0304568527918707E-2</v>
      </c>
      <c r="N42" s="12">
        <v>3.9382131023182398</v>
      </c>
      <c r="O42">
        <f t="shared" si="9"/>
        <v>20.307487024309083</v>
      </c>
      <c r="P42">
        <v>3.3933753089635355</v>
      </c>
      <c r="Q42">
        <f t="shared" si="10"/>
        <v>17.498018330908305</v>
      </c>
      <c r="R42">
        <f t="shared" si="11"/>
        <v>1.1054091260472814E-13</v>
      </c>
    </row>
    <row r="43" spans="1:20">
      <c r="A43">
        <v>7</v>
      </c>
      <c r="B43" s="41">
        <v>43752</v>
      </c>
      <c r="C43" s="11">
        <v>0.60416666666666663</v>
      </c>
      <c r="D43" s="17">
        <f>D42+4/6</f>
        <v>46.666666666666664</v>
      </c>
      <c r="E43">
        <f t="shared" si="6"/>
        <v>168000</v>
      </c>
      <c r="F43">
        <v>6.6580000000000004</v>
      </c>
      <c r="G43">
        <v>15.568</v>
      </c>
      <c r="H43">
        <v>17.053999999999998</v>
      </c>
      <c r="I43">
        <f t="shared" si="7"/>
        <v>0.16677890011223331</v>
      </c>
      <c r="J43">
        <v>6.6449999999999996</v>
      </c>
      <c r="K43">
        <v>16.486999999999998</v>
      </c>
      <c r="L43">
        <v>16.684999999999999</v>
      </c>
      <c r="M43">
        <f t="shared" si="8"/>
        <v>2.0117862223125425E-2</v>
      </c>
      <c r="N43" s="12">
        <v>3.7547860301686837</v>
      </c>
      <c r="O43">
        <f t="shared" si="9"/>
        <v>20.040882825442019</v>
      </c>
      <c r="P43">
        <v>3.1946302518243508</v>
      </c>
      <c r="Q43">
        <f t="shared" si="10"/>
        <v>17.051094265562689</v>
      </c>
      <c r="R43">
        <f t="shared" si="11"/>
        <v>1.0908969062872787E-13</v>
      </c>
    </row>
    <row r="44" spans="1:20">
      <c r="A44">
        <v>8</v>
      </c>
      <c r="B44" s="41">
        <v>43752</v>
      </c>
      <c r="C44" s="11">
        <v>0.75694444444444453</v>
      </c>
      <c r="D44" s="17">
        <f>D43+4-2/6</f>
        <v>50.333333333333329</v>
      </c>
      <c r="E44">
        <f t="shared" si="6"/>
        <v>181199.99999999997</v>
      </c>
      <c r="F44">
        <v>6.7279999999999998</v>
      </c>
      <c r="G44">
        <v>15.57</v>
      </c>
      <c r="H44">
        <v>16.113</v>
      </c>
      <c r="I44">
        <f t="shared" si="7"/>
        <v>6.1411445374349609E-2</v>
      </c>
      <c r="J44">
        <v>6.6029999999999998</v>
      </c>
      <c r="K44">
        <v>16.466999999999999</v>
      </c>
      <c r="L44">
        <v>16.667000000000002</v>
      </c>
      <c r="M44">
        <f t="shared" si="8"/>
        <v>2.0275750202757792E-2</v>
      </c>
      <c r="N44" s="12">
        <v>1.623066002484657</v>
      </c>
      <c r="O44">
        <f t="shared" si="9"/>
        <v>23.343421943996745</v>
      </c>
      <c r="P44">
        <v>1.3781928691336627</v>
      </c>
      <c r="Q44">
        <f t="shared" si="10"/>
        <v>19.821583111928128</v>
      </c>
      <c r="R44">
        <f t="shared" si="11"/>
        <v>1.270665918396385E-13</v>
      </c>
    </row>
    <row r="45" spans="1:20">
      <c r="A45">
        <v>9</v>
      </c>
      <c r="B45" s="41">
        <v>43753</v>
      </c>
      <c r="C45" s="11">
        <v>0.39583333333333331</v>
      </c>
      <c r="D45" s="17">
        <f>D43+19</f>
        <v>65.666666666666657</v>
      </c>
      <c r="E45">
        <f t="shared" si="6"/>
        <v>236399.99999999997</v>
      </c>
      <c r="F45">
        <v>6.7279999999999998</v>
      </c>
      <c r="G45">
        <v>15.512</v>
      </c>
      <c r="H45">
        <v>16.222000000000001</v>
      </c>
      <c r="I45">
        <f t="shared" si="7"/>
        <v>8.0828779599271497E-2</v>
      </c>
      <c r="J45">
        <v>6.6230000000000002</v>
      </c>
      <c r="K45">
        <v>16.47</v>
      </c>
      <c r="L45">
        <v>16.664000000000001</v>
      </c>
      <c r="M45">
        <f t="shared" si="8"/>
        <v>1.9701431908195659E-2</v>
      </c>
      <c r="N45" s="12">
        <v>1.9453027508554981</v>
      </c>
      <c r="O45">
        <f t="shared" si="9"/>
        <v>21.876506892128305</v>
      </c>
      <c r="P45">
        <v>1.6693774877329333</v>
      </c>
      <c r="Q45">
        <f t="shared" si="10"/>
        <v>18.773503558709645</v>
      </c>
      <c r="R45">
        <f t="shared" si="11"/>
        <v>1.1908164873205246E-13</v>
      </c>
    </row>
    <row r="46" spans="1:20">
      <c r="A46">
        <v>10</v>
      </c>
      <c r="B46" s="41">
        <v>43753</v>
      </c>
      <c r="C46" s="11">
        <v>0.58333333333333337</v>
      </c>
      <c r="D46" s="17">
        <f>D45+4.5</f>
        <v>70.166666666666657</v>
      </c>
      <c r="E46">
        <f t="shared" si="6"/>
        <v>252599.99999999994</v>
      </c>
      <c r="F46">
        <v>6.6726999999999999</v>
      </c>
      <c r="G46">
        <v>15.648</v>
      </c>
      <c r="I46">
        <f t="shared" si="7"/>
        <v>-1.7434514723741823</v>
      </c>
      <c r="M46" t="e">
        <f t="shared" si="8"/>
        <v>#DIV/0!</v>
      </c>
      <c r="O46" t="e">
        <f t="shared" si="9"/>
        <v>#DIV/0!</v>
      </c>
      <c r="Q46" t="e">
        <f t="shared" si="10"/>
        <v>#DIV/0!</v>
      </c>
      <c r="R46" t="e">
        <f t="shared" si="11"/>
        <v>#DIV/0!</v>
      </c>
    </row>
    <row r="47" spans="1:20">
      <c r="A47">
        <v>11</v>
      </c>
      <c r="B47" s="41">
        <v>43753</v>
      </c>
      <c r="C47" s="11"/>
      <c r="D47" s="17"/>
      <c r="E47">
        <f t="shared" si="6"/>
        <v>0</v>
      </c>
      <c r="F47">
        <v>6.6269999999999998</v>
      </c>
      <c r="G47">
        <v>15.525</v>
      </c>
      <c r="I47">
        <f t="shared" si="7"/>
        <v>-1.7447741065407958</v>
      </c>
      <c r="M47" t="e">
        <f t="shared" si="8"/>
        <v>#DIV/0!</v>
      </c>
      <c r="O47" t="e">
        <f t="shared" si="9"/>
        <v>#DIV/0!</v>
      </c>
      <c r="Q47" t="e">
        <f t="shared" si="10"/>
        <v>#DIV/0!</v>
      </c>
      <c r="R47" t="e">
        <f t="shared" si="11"/>
        <v>#DIV/0!</v>
      </c>
    </row>
    <row r="48" spans="1:20">
      <c r="A48">
        <v>12</v>
      </c>
      <c r="B48" s="41"/>
      <c r="C48" s="11"/>
      <c r="D48" s="17"/>
      <c r="E48">
        <f t="shared" si="6"/>
        <v>0</v>
      </c>
      <c r="F48">
        <v>6.6630000000000003</v>
      </c>
      <c r="G48">
        <v>15.558999999999999</v>
      </c>
      <c r="I48">
        <f t="shared" si="7"/>
        <v>-1.748988309352518</v>
      </c>
      <c r="M48" t="e">
        <f t="shared" si="8"/>
        <v>#DIV/0!</v>
      </c>
      <c r="O48" t="e">
        <f t="shared" si="9"/>
        <v>#DIV/0!</v>
      </c>
      <c r="Q48" t="e">
        <f t="shared" si="10"/>
        <v>#DIV/0!</v>
      </c>
      <c r="R48" t="e">
        <f t="shared" si="11"/>
        <v>#DIV/0!</v>
      </c>
    </row>
    <row r="49" spans="1:18">
      <c r="A49">
        <v>13</v>
      </c>
      <c r="B49" s="41"/>
      <c r="C49" s="11"/>
      <c r="D49" s="17"/>
      <c r="E49">
        <f t="shared" si="6"/>
        <v>0</v>
      </c>
      <c r="F49">
        <v>6.657</v>
      </c>
      <c r="G49">
        <v>15.563000000000001</v>
      </c>
      <c r="I49">
        <f t="shared" si="7"/>
        <v>-1.7474736132944082</v>
      </c>
      <c r="M49" t="e">
        <f t="shared" si="8"/>
        <v>#DIV/0!</v>
      </c>
      <c r="O49" t="e">
        <f t="shared" si="9"/>
        <v>#DIV/0!</v>
      </c>
      <c r="Q49" t="e">
        <f t="shared" si="10"/>
        <v>#DIV/0!</v>
      </c>
      <c r="R49" t="e">
        <f t="shared" si="11"/>
        <v>#DIV/0!</v>
      </c>
    </row>
    <row r="50" spans="1:18">
      <c r="I50">
        <f>H37-G37</f>
        <v>1.8589999999999982</v>
      </c>
      <c r="M50" t="e">
        <f t="shared" si="8"/>
        <v>#DIV/0!</v>
      </c>
      <c r="O50" t="e">
        <f t="shared" si="9"/>
        <v>#DIV/0!</v>
      </c>
      <c r="Q50" t="e">
        <f t="shared" si="10"/>
        <v>#DIV/0!</v>
      </c>
    </row>
    <row r="51" spans="1:18">
      <c r="I51">
        <f>H37-F37</f>
        <v>10.741999999999997</v>
      </c>
      <c r="M51" t="e">
        <f t="shared" si="8"/>
        <v>#DIV/0!</v>
      </c>
      <c r="O51" t="e">
        <f t="shared" si="9"/>
        <v>#DIV/0!</v>
      </c>
      <c r="Q51" t="e">
        <f t="shared" si="10"/>
        <v>#DIV/0!</v>
      </c>
    </row>
    <row r="61" spans="1:18">
      <c r="J61" s="42"/>
    </row>
  </sheetData>
  <mergeCells count="10">
    <mergeCell ref="A28:B28"/>
    <mergeCell ref="A29:B29"/>
    <mergeCell ref="A30:B30"/>
    <mergeCell ref="A31:B31"/>
    <mergeCell ref="A4:B4"/>
    <mergeCell ref="A5:B5"/>
    <mergeCell ref="A6:B6"/>
    <mergeCell ref="A7:B7"/>
    <mergeCell ref="A8:B8"/>
    <mergeCell ref="A27:B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A209-6D69-4EF6-9A0F-B34812E15CDA}">
  <dimension ref="A1:O83"/>
  <sheetViews>
    <sheetView workbookViewId="0">
      <selection activeCell="O10" sqref="O10"/>
    </sheetView>
  </sheetViews>
  <sheetFormatPr defaultRowHeight="14.5"/>
  <sheetData>
    <row r="1" spans="1:15">
      <c r="A1" t="s">
        <v>61</v>
      </c>
    </row>
    <row r="2" spans="1:15">
      <c r="A2" t="s">
        <v>62</v>
      </c>
    </row>
    <row r="3" spans="1:15">
      <c r="A3" t="s">
        <v>63</v>
      </c>
      <c r="B3" t="s">
        <v>64</v>
      </c>
      <c r="C3" t="s">
        <v>65</v>
      </c>
      <c r="D3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71</v>
      </c>
      <c r="J3" t="s">
        <v>72</v>
      </c>
      <c r="K3" t="s">
        <v>73</v>
      </c>
      <c r="L3" t="s">
        <v>71</v>
      </c>
      <c r="M3" t="s">
        <v>74</v>
      </c>
    </row>
    <row r="4" spans="1:15">
      <c r="A4">
        <v>2</v>
      </c>
      <c r="B4" s="43">
        <v>9.9999999999999998E-13</v>
      </c>
      <c r="C4">
        <v>1.7804999999999999E-4</v>
      </c>
      <c r="D4">
        <v>2.7999999999999998E-4</v>
      </c>
      <c r="E4" s="43">
        <v>-7.61825E-10</v>
      </c>
      <c r="F4" s="43">
        <v>-4.5709500000000003E-8</v>
      </c>
      <c r="G4">
        <v>-7.3399937529999999</v>
      </c>
      <c r="H4" s="43">
        <v>-6.9800000000000003E-8</v>
      </c>
      <c r="I4" s="43">
        <v>5.7999999999999996E-16</v>
      </c>
      <c r="J4">
        <v>-7.1561719549999996</v>
      </c>
      <c r="K4" s="43">
        <v>-1.5999999999999999E-10</v>
      </c>
      <c r="L4" s="43">
        <v>2.0700000000000001E-15</v>
      </c>
      <c r="M4">
        <v>-9.7952155130000005</v>
      </c>
    </row>
    <row r="5" spans="1:15">
      <c r="A5">
        <v>2.11</v>
      </c>
      <c r="B5" s="43">
        <v>1.2882500000000001E-12</v>
      </c>
      <c r="C5">
        <v>1.8205000000000001E-4</v>
      </c>
      <c r="D5">
        <v>2.7999999999999998E-4</v>
      </c>
      <c r="E5" s="43">
        <v>-1.2446300000000001E-9</v>
      </c>
      <c r="F5" s="43">
        <v>-7.4677500000000001E-8</v>
      </c>
      <c r="G5">
        <v>-7.1268101540000002</v>
      </c>
      <c r="H5" s="43">
        <v>-8.0999999999999997E-8</v>
      </c>
      <c r="I5" s="43">
        <v>3.9953099999999997E-17</v>
      </c>
      <c r="J5">
        <v>-7.0915237769999999</v>
      </c>
      <c r="K5" s="43">
        <v>-1.64E-10</v>
      </c>
      <c r="L5" s="43">
        <v>5.5499999999999999E-15</v>
      </c>
      <c r="M5">
        <v>-9.7855673339999996</v>
      </c>
    </row>
    <row r="6" spans="1:15">
      <c r="A6">
        <v>3.36</v>
      </c>
      <c r="B6" s="43">
        <v>2.2908700000000001E-11</v>
      </c>
      <c r="C6">
        <v>1.88763E-4</v>
      </c>
      <c r="D6">
        <v>2.7999999999999998E-4</v>
      </c>
      <c r="E6" s="43">
        <v>-6.8559899999999996E-9</v>
      </c>
      <c r="F6" s="43">
        <v>-4.1135900000000002E-7</v>
      </c>
      <c r="G6">
        <v>-6.3857786939999999</v>
      </c>
      <c r="H6" s="43">
        <v>-3.5400000000000002E-7</v>
      </c>
      <c r="I6" s="43">
        <v>3.2715100000000002E-15</v>
      </c>
      <c r="J6">
        <v>-6.4507977910000003</v>
      </c>
      <c r="K6" s="43">
        <v>-1.7000000000000001E-10</v>
      </c>
      <c r="L6" s="43">
        <v>1.6900000000000001E-13</v>
      </c>
      <c r="M6">
        <v>-9.769841349</v>
      </c>
    </row>
    <row r="7" spans="1:15">
      <c r="A7">
        <v>3.86</v>
      </c>
      <c r="B7" s="43">
        <v>7.2443599999999995E-11</v>
      </c>
      <c r="C7">
        <v>1.8852300000000001E-4</v>
      </c>
      <c r="D7">
        <v>2.7999999999999998E-4</v>
      </c>
      <c r="E7" s="43">
        <v>-1.34288E-8</v>
      </c>
      <c r="F7" s="43">
        <v>-8.0572699999999997E-7</v>
      </c>
      <c r="G7">
        <v>-6.0938118809999997</v>
      </c>
      <c r="H7" s="43">
        <v>-6.2900000000000003E-7</v>
      </c>
      <c r="I7" s="43">
        <v>3.12324E-14</v>
      </c>
      <c r="J7">
        <v>-6.2013490649999996</v>
      </c>
      <c r="K7" s="43">
        <v>-1.7000000000000001E-10</v>
      </c>
      <c r="L7" s="43">
        <v>6.4899999999999996E-13</v>
      </c>
      <c r="M7">
        <v>-9.7703926229999993</v>
      </c>
    </row>
    <row r="8" spans="1:15">
      <c r="A8">
        <v>4.2</v>
      </c>
      <c r="B8" s="43">
        <v>1.58489E-10</v>
      </c>
      <c r="C8">
        <v>1.7567099999999999E-4</v>
      </c>
      <c r="D8">
        <v>2.7999999999999998E-4</v>
      </c>
      <c r="E8" s="43">
        <v>-1.22745E-8</v>
      </c>
      <c r="F8" s="43">
        <v>-7.36471E-7</v>
      </c>
      <c r="G8">
        <v>-6.1328443149999998</v>
      </c>
      <c r="H8" s="43">
        <v>-8.6700000000000002E-7</v>
      </c>
      <c r="I8" s="43">
        <v>1.7020999999999999E-14</v>
      </c>
      <c r="J8">
        <v>-6.0620131940000004</v>
      </c>
      <c r="K8" s="43">
        <v>-1.58E-10</v>
      </c>
      <c r="L8" s="43">
        <v>5.4200000000000001E-13</v>
      </c>
      <c r="M8">
        <v>-9.8010567519999992</v>
      </c>
    </row>
    <row r="9" spans="1:15">
      <c r="A9">
        <v>5.07</v>
      </c>
      <c r="B9" s="43">
        <v>1.1748999999999999E-9</v>
      </c>
      <c r="C9">
        <v>1.7093300000000001E-4</v>
      </c>
      <c r="D9">
        <v>2.7999999999999998E-4</v>
      </c>
      <c r="E9" s="43">
        <v>-3.1143299999999999E-8</v>
      </c>
      <c r="F9" s="43">
        <v>-1.8686E-6</v>
      </c>
      <c r="G9">
        <v>-5.7284846849999997</v>
      </c>
      <c r="H9" s="43">
        <v>-2.3E-6</v>
      </c>
      <c r="I9" s="43">
        <v>1.8330699999999999E-13</v>
      </c>
      <c r="J9">
        <v>-5.6388882090000001</v>
      </c>
      <c r="K9" s="43">
        <v>-1.5400000000000001E-10</v>
      </c>
      <c r="L9" s="43">
        <v>3.4899999999999999E-12</v>
      </c>
      <c r="M9">
        <v>-9.8129317670000002</v>
      </c>
    </row>
    <row r="11" spans="1:15">
      <c r="A11">
        <v>2.84</v>
      </c>
      <c r="B11" s="43">
        <v>6.9183099999999998E-12</v>
      </c>
      <c r="C11">
        <v>1.65248E-4</v>
      </c>
      <c r="D11">
        <v>2.7999999999999998E-4</v>
      </c>
      <c r="E11" s="43">
        <v>-1.5532299999999999E-8</v>
      </c>
      <c r="F11" s="43">
        <v>-9.3193599999999996E-7</v>
      </c>
      <c r="G11">
        <v>-6.0306139280000002</v>
      </c>
      <c r="H11" s="43">
        <v>-1.6999999999999999E-7</v>
      </c>
      <c r="I11" s="43">
        <v>5.7996600000000001E-13</v>
      </c>
      <c r="J11">
        <v>-6.7685788819999999</v>
      </c>
      <c r="K11" s="43">
        <v>-1.49E-10</v>
      </c>
      <c r="L11" s="43">
        <v>8.6800000000000004E-13</v>
      </c>
      <c r="M11">
        <v>-9.8276224400000007</v>
      </c>
      <c r="O11" t="s">
        <v>75</v>
      </c>
    </row>
    <row r="12" spans="1:15">
      <c r="A12">
        <v>4.4000000000000004</v>
      </c>
      <c r="B12" s="43">
        <v>2.5118899999999998E-10</v>
      </c>
      <c r="C12">
        <v>1.5054099999999999E-4</v>
      </c>
      <c r="D12">
        <v>2.7999999999999998E-4</v>
      </c>
      <c r="E12" s="43">
        <v>-1.2258999999999999E-7</v>
      </c>
      <c r="F12" s="43">
        <v>-7.3553999999999999E-6</v>
      </c>
      <c r="G12">
        <v>-5.1333935879999997</v>
      </c>
      <c r="H12" s="43">
        <v>-9.3500000000000005E-7</v>
      </c>
      <c r="I12" s="43">
        <v>4.1218000000000003E-11</v>
      </c>
      <c r="J12">
        <v>-6.0290600740000002</v>
      </c>
      <c r="K12" s="43">
        <v>-1.35E-10</v>
      </c>
      <c r="L12" s="43">
        <v>5.4099999999999999E-11</v>
      </c>
      <c r="M12">
        <v>-9.8681036320000004</v>
      </c>
      <c r="O12" t="s">
        <v>75</v>
      </c>
    </row>
    <row r="13" spans="1:15">
      <c r="A13">
        <v>5.12</v>
      </c>
      <c r="B13" s="43">
        <v>1.31826E-9</v>
      </c>
      <c r="C13">
        <v>1.2415E-3</v>
      </c>
      <c r="D13">
        <v>2.7999999999999998E-4</v>
      </c>
      <c r="E13" s="43">
        <v>-1.15843E-7</v>
      </c>
      <c r="F13" s="43">
        <v>-6.9506099999999998E-6</v>
      </c>
      <c r="G13">
        <v>-5.1579772630000003</v>
      </c>
      <c r="H13" s="43">
        <v>-1.77E-5</v>
      </c>
      <c r="I13" s="43">
        <v>1.14902E-10</v>
      </c>
      <c r="J13">
        <v>-4.7527672089999999</v>
      </c>
      <c r="K13" s="43">
        <v>-1.1200000000000001E-9</v>
      </c>
      <c r="L13" s="43">
        <v>4.8299999999999997E-11</v>
      </c>
      <c r="M13">
        <v>-8.9518107669999996</v>
      </c>
      <c r="O13" t="s">
        <v>75</v>
      </c>
    </row>
    <row r="14" spans="1:15">
      <c r="A14">
        <v>6.01</v>
      </c>
      <c r="B14" s="43">
        <v>1.0232899999999999E-8</v>
      </c>
      <c r="C14">
        <v>0.15998499999999999</v>
      </c>
      <c r="D14">
        <v>2.7999999999999998E-4</v>
      </c>
      <c r="E14" s="43">
        <v>-2.1613399999999999E-7</v>
      </c>
      <c r="F14" s="43">
        <v>-1.2968E-5</v>
      </c>
      <c r="G14">
        <v>-4.8871257320000003</v>
      </c>
      <c r="H14" s="43">
        <v>-6.3400000000000001E-3</v>
      </c>
      <c r="I14" s="43">
        <v>4.0082400000000001E-5</v>
      </c>
      <c r="J14">
        <v>-2.197634667</v>
      </c>
      <c r="K14" s="43">
        <v>-1.4399999999999999E-7</v>
      </c>
      <c r="L14" s="43">
        <v>1.64E-10</v>
      </c>
      <c r="M14">
        <v>-6.8416782249999999</v>
      </c>
      <c r="O14" t="s">
        <v>75</v>
      </c>
    </row>
    <row r="15" spans="1:15">
      <c r="A15">
        <v>7.17</v>
      </c>
      <c r="B15" s="43">
        <v>1.4791100000000001E-7</v>
      </c>
      <c r="C15">
        <v>1.3236899999999999E-4</v>
      </c>
      <c r="D15">
        <v>2.7999999999999998E-4</v>
      </c>
      <c r="E15" s="43">
        <v>-2.1472999999999999E-7</v>
      </c>
      <c r="F15" s="43">
        <v>-1.28838E-5</v>
      </c>
      <c r="G15">
        <v>-4.8899554890000001</v>
      </c>
      <c r="H15" s="43">
        <v>-2.0000000000000002E-5</v>
      </c>
      <c r="I15" s="43">
        <v>5.0015100000000001E-11</v>
      </c>
      <c r="J15">
        <v>-4.6999274910000004</v>
      </c>
      <c r="K15" s="43">
        <v>-1.19E-10</v>
      </c>
      <c r="L15" s="43">
        <v>1.66E-10</v>
      </c>
      <c r="M15">
        <v>-9.9239710490000004</v>
      </c>
      <c r="O15" t="s">
        <v>76</v>
      </c>
    </row>
    <row r="19" spans="8:12">
      <c r="H19" t="s">
        <v>77</v>
      </c>
      <c r="I19" s="43">
        <v>2.3500000000000001E-13</v>
      </c>
      <c r="K19" t="s">
        <v>77</v>
      </c>
      <c r="L19" s="43">
        <v>4.8588600000000002E-12</v>
      </c>
    </row>
    <row r="21" spans="8:12">
      <c r="H21" t="s">
        <v>60</v>
      </c>
      <c r="I21" s="43">
        <v>1400000</v>
      </c>
      <c r="K21" t="s">
        <v>60</v>
      </c>
      <c r="L21" s="43">
        <v>8.9999999999999996E-7</v>
      </c>
    </row>
    <row r="23" spans="8:12">
      <c r="H23" t="s">
        <v>78</v>
      </c>
      <c r="I23">
        <v>0.97354794499999997</v>
      </c>
      <c r="K23" t="s">
        <v>78</v>
      </c>
      <c r="L23" s="43">
        <v>0.60399999999999998</v>
      </c>
    </row>
    <row r="34" spans="1:14">
      <c r="A34" t="s">
        <v>79</v>
      </c>
    </row>
    <row r="35" spans="1:14">
      <c r="A35" t="s">
        <v>63</v>
      </c>
      <c r="B35" t="s">
        <v>64</v>
      </c>
      <c r="C35" t="s">
        <v>65</v>
      </c>
      <c r="D35" t="s">
        <v>66</v>
      </c>
      <c r="E35" t="s">
        <v>67</v>
      </c>
      <c r="F35" t="s">
        <v>68</v>
      </c>
      <c r="G35" t="s">
        <v>69</v>
      </c>
      <c r="H35" t="s">
        <v>80</v>
      </c>
      <c r="I35" t="s">
        <v>81</v>
      </c>
      <c r="J35" t="s">
        <v>70</v>
      </c>
      <c r="K35" t="s">
        <v>71</v>
      </c>
      <c r="L35" t="s">
        <v>72</v>
      </c>
    </row>
    <row r="36" spans="1:14">
      <c r="A36">
        <v>2</v>
      </c>
      <c r="B36" s="43">
        <v>9.9999999999999998E-13</v>
      </c>
      <c r="C36">
        <v>1.7804999999999999E-4</v>
      </c>
      <c r="D36">
        <v>2.7999999999999998E-4</v>
      </c>
      <c r="E36" s="43">
        <v>-7.61825E-10</v>
      </c>
      <c r="F36" s="43">
        <v>-1.26971E-11</v>
      </c>
      <c r="G36">
        <v>-10.896296250000001</v>
      </c>
      <c r="H36" s="43">
        <v>-1.5281099999999999E+22</v>
      </c>
      <c r="I36">
        <v>22.18415499</v>
      </c>
      <c r="J36" s="43">
        <v>-3.2700000000000001E-28</v>
      </c>
      <c r="K36" s="43">
        <v>1.61216E-22</v>
      </c>
      <c r="L36">
        <v>-27.485570020000001</v>
      </c>
    </row>
    <row r="37" spans="1:14">
      <c r="A37">
        <v>2.11</v>
      </c>
      <c r="B37" s="43">
        <v>1.2882500000000001E-12</v>
      </c>
      <c r="C37">
        <v>1.8205000000000001E-4</v>
      </c>
      <c r="D37">
        <v>2.7999999999999998E-4</v>
      </c>
      <c r="E37" s="43">
        <v>-1.2446300000000001E-9</v>
      </c>
      <c r="F37" s="43">
        <v>-2.0743800000000001E-11</v>
      </c>
      <c r="G37">
        <v>-10.68311265</v>
      </c>
      <c r="H37" s="43">
        <v>-1.47126E+22</v>
      </c>
      <c r="I37">
        <v>22.167690409999999</v>
      </c>
      <c r="J37" s="43">
        <v>-8.0999999999999997E-8</v>
      </c>
      <c r="K37" s="43">
        <v>6.5573700000000003E-15</v>
      </c>
      <c r="L37">
        <v>-7.0915237769999999</v>
      </c>
    </row>
    <row r="38" spans="1:14">
      <c r="A38">
        <v>3.36</v>
      </c>
      <c r="B38" s="43">
        <v>2.2908700000000001E-11</v>
      </c>
      <c r="C38">
        <v>1.88763E-4</v>
      </c>
      <c r="D38">
        <v>2.7999999999999998E-4</v>
      </c>
      <c r="E38" s="43">
        <v>-6.8559899999999996E-9</v>
      </c>
      <c r="F38" s="43">
        <v>-1.14266E-10</v>
      </c>
      <c r="G38">
        <v>-9.9420811950000001</v>
      </c>
      <c r="H38" s="43">
        <v>-2.4717E+20</v>
      </c>
      <c r="I38">
        <v>20.392995880000001</v>
      </c>
      <c r="J38" s="43">
        <v>-3.5400000000000002E-7</v>
      </c>
      <c r="K38" s="43">
        <v>1.2534999999999999E-13</v>
      </c>
      <c r="L38">
        <v>-6.4507977910000003</v>
      </c>
    </row>
    <row r="39" spans="1:14">
      <c r="A39">
        <v>3.86</v>
      </c>
      <c r="B39" s="43">
        <v>7.2443599999999995E-11</v>
      </c>
      <c r="C39">
        <v>1.8852300000000001E-4</v>
      </c>
      <c r="D39">
        <v>2.7999999999999998E-4</v>
      </c>
      <c r="E39" s="43">
        <v>-1.34288E-8</v>
      </c>
      <c r="F39" s="43">
        <v>-2.23813E-10</v>
      </c>
      <c r="G39">
        <v>-9.6501143819999999</v>
      </c>
      <c r="H39" s="43">
        <v>-4.84746E+19</v>
      </c>
      <c r="I39">
        <v>19.685513969999999</v>
      </c>
      <c r="J39" s="43">
        <v>-6.2900000000000003E-7</v>
      </c>
      <c r="K39" s="43">
        <v>3.9535999999999999E-13</v>
      </c>
      <c r="L39">
        <v>-6.2013490649999996</v>
      </c>
    </row>
    <row r="40" spans="1:14">
      <c r="A40">
        <v>4.2</v>
      </c>
      <c r="B40" s="43">
        <v>1.58489E-10</v>
      </c>
      <c r="C40">
        <v>1.7567099999999999E-4</v>
      </c>
      <c r="D40">
        <v>2.7999999999999998E-4</v>
      </c>
      <c r="E40" s="43">
        <v>-1.22745E-8</v>
      </c>
      <c r="F40" s="43">
        <v>-2.0457499999999999E-10</v>
      </c>
      <c r="G40">
        <v>-9.6891468159999992</v>
      </c>
      <c r="H40" s="43">
        <v>-9.93449E+18</v>
      </c>
      <c r="I40">
        <v>18.997145660000001</v>
      </c>
      <c r="J40" s="43">
        <v>-8.6700000000000002E-7</v>
      </c>
      <c r="K40" s="43">
        <v>7.5122300000000002E-13</v>
      </c>
      <c r="L40">
        <v>-6.0620131940000004</v>
      </c>
    </row>
    <row r="41" spans="1:14">
      <c r="A41">
        <v>5.07</v>
      </c>
      <c r="B41" s="43">
        <v>1.1748999999999999E-9</v>
      </c>
      <c r="C41">
        <v>1.7093300000000001E-4</v>
      </c>
      <c r="D41">
        <v>2.7999999999999998E-4</v>
      </c>
      <c r="E41" s="43">
        <v>-3.1143299999999999E-8</v>
      </c>
      <c r="F41" s="43">
        <v>-5.1905400000000002E-10</v>
      </c>
      <c r="G41">
        <v>-9.2847871860000009</v>
      </c>
      <c r="H41" s="43">
        <v>-4.7139E+17</v>
      </c>
      <c r="I41">
        <v>17.673380309999999</v>
      </c>
      <c r="J41" s="43">
        <v>-2.3E-6</v>
      </c>
      <c r="K41" s="43">
        <v>5.2726300000000003E-12</v>
      </c>
      <c r="L41">
        <v>-5.6388882090000001</v>
      </c>
    </row>
    <row r="44" spans="1:14">
      <c r="A44">
        <v>2.84</v>
      </c>
      <c r="B44" s="43">
        <v>6.9183099999999998E-12</v>
      </c>
      <c r="C44">
        <v>1.65248E-4</v>
      </c>
      <c r="D44">
        <v>2.7999999999999998E-4</v>
      </c>
      <c r="E44" s="43">
        <v>-1.5532299999999999E-8</v>
      </c>
      <c r="F44" s="43">
        <v>-9.3193599999999996E-7</v>
      </c>
      <c r="G44">
        <v>-6.0306139280000002</v>
      </c>
      <c r="H44" s="43">
        <v>-7.0136099999999999E+21</v>
      </c>
      <c r="I44">
        <v>21.845941740000001</v>
      </c>
      <c r="J44" s="43">
        <v>-1.6999999999999999E-7</v>
      </c>
      <c r="K44" s="43">
        <v>5.7996600000000001E-13</v>
      </c>
      <c r="L44">
        <v>-6.7685788819999999</v>
      </c>
      <c r="N44" t="s">
        <v>75</v>
      </c>
    </row>
    <row r="45" spans="1:14">
      <c r="A45">
        <v>4.4000000000000004</v>
      </c>
      <c r="B45" s="43">
        <v>2.5118899999999998E-10</v>
      </c>
      <c r="C45">
        <v>1.5054099999999999E-4</v>
      </c>
      <c r="D45">
        <v>2.7999999999999998E-4</v>
      </c>
      <c r="E45" s="43">
        <v>-1.2258999999999999E-7</v>
      </c>
      <c r="F45" s="43">
        <v>-7.3553999999999999E-6</v>
      </c>
      <c r="G45">
        <v>-5.1333935879999997</v>
      </c>
      <c r="H45" s="43">
        <v>-4.60939E+19</v>
      </c>
      <c r="I45">
        <v>19.663643270000001</v>
      </c>
      <c r="J45" s="43">
        <v>-9.3500000000000005E-7</v>
      </c>
      <c r="K45" s="43">
        <v>4.1218000000000003E-11</v>
      </c>
      <c r="L45">
        <v>-6.0290600740000002</v>
      </c>
      <c r="N45" t="s">
        <v>75</v>
      </c>
    </row>
    <row r="46" spans="1:14">
      <c r="A46">
        <v>5.12</v>
      </c>
      <c r="B46" s="43">
        <v>1.31826E-9</v>
      </c>
      <c r="C46">
        <v>1.2415E-3</v>
      </c>
      <c r="D46">
        <v>2.7999999999999998E-4</v>
      </c>
      <c r="E46" s="43">
        <v>-1.15843E-7</v>
      </c>
      <c r="F46" s="43">
        <v>-6.9506099999999998E-6</v>
      </c>
      <c r="G46">
        <v>-5.1579772630000003</v>
      </c>
      <c r="H46" s="43">
        <v>-1.91764E+17</v>
      </c>
      <c r="I46">
        <v>17.282766729999999</v>
      </c>
      <c r="J46" s="43">
        <v>-1.77E-5</v>
      </c>
      <c r="K46" s="43">
        <v>1.14902E-10</v>
      </c>
      <c r="L46">
        <v>-4.7527672089999999</v>
      </c>
      <c r="N46" t="s">
        <v>75</v>
      </c>
    </row>
    <row r="47" spans="1:14">
      <c r="A47">
        <v>6.01</v>
      </c>
      <c r="B47" s="43">
        <v>1.0232899999999999E-8</v>
      </c>
      <c r="C47">
        <v>0.15998499999999999</v>
      </c>
      <c r="D47">
        <v>2.7999999999999998E-4</v>
      </c>
      <c r="E47" s="43">
        <v>-2.1613399999999999E-7</v>
      </c>
      <c r="F47" s="43">
        <v>-1.2968E-5</v>
      </c>
      <c r="G47">
        <v>-4.8871257320000003</v>
      </c>
      <c r="H47" s="43">
        <v>-46077200000000</v>
      </c>
      <c r="I47">
        <v>13.663485720000001</v>
      </c>
      <c r="J47" s="43">
        <v>-6.3400000000000001E-3</v>
      </c>
      <c r="K47" s="43">
        <v>4.0082400000000001E-5</v>
      </c>
      <c r="L47">
        <v>-2.197634667</v>
      </c>
      <c r="N47" t="s">
        <v>75</v>
      </c>
    </row>
    <row r="48" spans="1:14">
      <c r="A48">
        <v>7.17</v>
      </c>
      <c r="B48" s="43">
        <v>1.4791100000000001E-7</v>
      </c>
      <c r="C48">
        <v>1.3236899999999999E-4</v>
      </c>
      <c r="D48">
        <v>2.7999999999999998E-4</v>
      </c>
      <c r="E48" s="43">
        <v>-2.1472999999999999E-7</v>
      </c>
      <c r="F48" s="43">
        <v>-1.28838E-5</v>
      </c>
      <c r="G48">
        <v>-4.8899554890000001</v>
      </c>
      <c r="H48" s="43">
        <v>-264819000000000</v>
      </c>
      <c r="I48">
        <v>14.42294879</v>
      </c>
      <c r="J48" s="43">
        <v>-2.0000000000000002E-5</v>
      </c>
      <c r="K48" s="43">
        <v>5.0015100000000001E-11</v>
      </c>
      <c r="L48">
        <v>-4.6999274910000004</v>
      </c>
      <c r="N48" t="s">
        <v>76</v>
      </c>
    </row>
    <row r="53" spans="8:9">
      <c r="H53" t="s">
        <v>77</v>
      </c>
      <c r="I53" s="43">
        <v>6.5445599999999997E-12</v>
      </c>
    </row>
    <row r="55" spans="8:9">
      <c r="H55" t="s">
        <v>60</v>
      </c>
      <c r="I55" s="43">
        <v>300</v>
      </c>
    </row>
    <row r="57" spans="8:9">
      <c r="H57" t="s">
        <v>78</v>
      </c>
      <c r="I57">
        <v>0.94851226899999996</v>
      </c>
    </row>
    <row r="65" spans="1:7">
      <c r="A65" t="s">
        <v>82</v>
      </c>
    </row>
    <row r="66" spans="1:7">
      <c r="A66" t="s">
        <v>83</v>
      </c>
      <c r="B66" t="s">
        <v>84</v>
      </c>
      <c r="C66" t="s">
        <v>85</v>
      </c>
      <c r="E66" t="s">
        <v>86</v>
      </c>
      <c r="G66" t="s">
        <v>80</v>
      </c>
    </row>
    <row r="67" spans="1:7">
      <c r="A67" t="s">
        <v>87</v>
      </c>
      <c r="B67">
        <v>4</v>
      </c>
      <c r="C67" t="s">
        <v>88</v>
      </c>
      <c r="E67">
        <v>1.4941545940000001</v>
      </c>
      <c r="F67" t="s">
        <v>89</v>
      </c>
      <c r="G67">
        <v>21.494154590000001</v>
      </c>
    </row>
    <row r="68" spans="1:7">
      <c r="A68" t="s">
        <v>87</v>
      </c>
      <c r="B68">
        <v>4.5</v>
      </c>
      <c r="C68" t="s">
        <v>90</v>
      </c>
      <c r="E68">
        <v>1.6972293430000001</v>
      </c>
      <c r="F68" t="s">
        <v>89</v>
      </c>
      <c r="G68">
        <v>20.69722934</v>
      </c>
    </row>
    <row r="69" spans="1:7">
      <c r="A69" t="s">
        <v>87</v>
      </c>
      <c r="B69">
        <v>5</v>
      </c>
      <c r="C69" t="s">
        <v>90</v>
      </c>
      <c r="E69">
        <v>1.7993405490000001</v>
      </c>
      <c r="F69" t="s">
        <v>89</v>
      </c>
      <c r="G69">
        <v>19.79934055</v>
      </c>
    </row>
    <row r="70" spans="1:7">
      <c r="A70" t="s">
        <v>87</v>
      </c>
      <c r="B70">
        <v>5.5</v>
      </c>
      <c r="C70" t="s">
        <v>90</v>
      </c>
      <c r="E70">
        <v>1.835056102</v>
      </c>
      <c r="F70" t="s">
        <v>89</v>
      </c>
      <c r="G70">
        <v>18.835056099999999</v>
      </c>
    </row>
    <row r="72" spans="1:7">
      <c r="A72" t="s">
        <v>91</v>
      </c>
    </row>
    <row r="73" spans="1:7">
      <c r="A73" t="s">
        <v>83</v>
      </c>
      <c r="B73" t="s">
        <v>84</v>
      </c>
      <c r="C73" t="s">
        <v>85</v>
      </c>
      <c r="E73" t="s">
        <v>86</v>
      </c>
      <c r="G73" t="s">
        <v>80</v>
      </c>
    </row>
    <row r="74" spans="1:7">
      <c r="A74" t="s">
        <v>92</v>
      </c>
      <c r="B74">
        <v>4</v>
      </c>
      <c r="C74" t="s">
        <v>88</v>
      </c>
      <c r="E74">
        <v>-2.1079053970000001</v>
      </c>
      <c r="F74" t="s">
        <v>89</v>
      </c>
      <c r="G74">
        <v>17.8920946</v>
      </c>
    </row>
    <row r="75" spans="1:7">
      <c r="A75" t="s">
        <v>92</v>
      </c>
      <c r="B75">
        <v>4.5</v>
      </c>
      <c r="C75" t="s">
        <v>90</v>
      </c>
      <c r="E75">
        <v>-1.6197887580000001</v>
      </c>
      <c r="F75" t="s">
        <v>89</v>
      </c>
      <c r="G75">
        <v>17.380211240000001</v>
      </c>
    </row>
    <row r="76" spans="1:7">
      <c r="A76" t="s">
        <v>92</v>
      </c>
      <c r="B76">
        <v>5</v>
      </c>
      <c r="C76" t="s">
        <v>90</v>
      </c>
      <c r="E76">
        <v>-1.1079053969999999</v>
      </c>
      <c r="F76" t="s">
        <v>89</v>
      </c>
      <c r="G76">
        <v>16.8920946</v>
      </c>
    </row>
    <row r="77" spans="1:7">
      <c r="A77" t="s">
        <v>92</v>
      </c>
      <c r="B77">
        <v>5.5</v>
      </c>
      <c r="C77" t="s">
        <v>90</v>
      </c>
      <c r="E77">
        <v>-0.619788758</v>
      </c>
      <c r="F77" t="s">
        <v>89</v>
      </c>
      <c r="G77">
        <v>16.380211240000001</v>
      </c>
    </row>
    <row r="79" spans="1:7">
      <c r="A79" t="s">
        <v>93</v>
      </c>
      <c r="B79" t="s">
        <v>84</v>
      </c>
      <c r="C79" t="s">
        <v>85</v>
      </c>
      <c r="E79" t="s">
        <v>86</v>
      </c>
      <c r="G79" t="s">
        <v>80</v>
      </c>
    </row>
    <row r="80" spans="1:7">
      <c r="A80" t="s">
        <v>94</v>
      </c>
      <c r="B80">
        <v>4</v>
      </c>
      <c r="C80" t="s">
        <v>88</v>
      </c>
      <c r="E80">
        <v>4.7270530109999997</v>
      </c>
      <c r="F80" t="s">
        <v>89</v>
      </c>
      <c r="G80">
        <v>24.727053009999999</v>
      </c>
    </row>
    <row r="81" spans="1:7">
      <c r="A81" t="s">
        <v>94</v>
      </c>
      <c r="B81">
        <v>4.5</v>
      </c>
      <c r="C81" t="s">
        <v>90</v>
      </c>
      <c r="E81">
        <v>4.5400790889999998</v>
      </c>
      <c r="F81" t="s">
        <v>89</v>
      </c>
      <c r="G81">
        <v>23.540079089999999</v>
      </c>
    </row>
    <row r="82" spans="1:7">
      <c r="A82" t="s">
        <v>94</v>
      </c>
      <c r="B82">
        <v>5</v>
      </c>
      <c r="C82" t="s">
        <v>90</v>
      </c>
      <c r="E82">
        <v>4.4409090820000001</v>
      </c>
      <c r="F82" t="s">
        <v>89</v>
      </c>
      <c r="G82">
        <v>22.440909080000001</v>
      </c>
    </row>
    <row r="83" spans="1:7">
      <c r="A83" t="s">
        <v>94</v>
      </c>
      <c r="B83">
        <v>5.5</v>
      </c>
      <c r="C83" t="s">
        <v>90</v>
      </c>
      <c r="E83">
        <v>4.4014005410000001</v>
      </c>
      <c r="F83" t="s">
        <v>89</v>
      </c>
      <c r="G83">
        <v>21.401400540000001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B9928-E56A-4634-ABB0-1A5188C08F5A}">
  <dimension ref="A1:AW181"/>
  <sheetViews>
    <sheetView topLeftCell="A160" workbookViewId="0">
      <selection activeCell="B62" sqref="B62"/>
    </sheetView>
  </sheetViews>
  <sheetFormatPr defaultColWidth="11.6328125" defaultRowHeight="14.5"/>
  <cols>
    <col min="1" max="1" width="16.1796875" customWidth="1"/>
    <col min="2" max="2" width="16.7265625" bestFit="1" customWidth="1"/>
    <col min="3" max="3" width="20" bestFit="1" customWidth="1"/>
    <col min="4" max="4" width="18.7265625" bestFit="1" customWidth="1"/>
    <col min="5" max="5" width="20" bestFit="1" customWidth="1"/>
    <col min="6" max="6" width="21.81640625" bestFit="1" customWidth="1"/>
    <col min="7" max="9" width="20" bestFit="1" customWidth="1"/>
    <col min="10" max="10" width="21.81640625" bestFit="1" customWidth="1"/>
  </cols>
  <sheetData>
    <row r="1" spans="1:10" s="2" customFormat="1" ht="18.5">
      <c r="A1" s="1" t="s">
        <v>95</v>
      </c>
      <c r="B1" s="44"/>
    </row>
    <row r="3" spans="1:10" ht="15.5">
      <c r="A3" s="45"/>
      <c r="B3" s="45"/>
      <c r="C3" s="46" t="s">
        <v>96</v>
      </c>
      <c r="D3" s="46"/>
      <c r="E3" s="47"/>
      <c r="F3" s="47"/>
      <c r="G3" s="46" t="s">
        <v>97</v>
      </c>
      <c r="H3" s="46"/>
      <c r="I3" s="45"/>
      <c r="J3" s="47"/>
    </row>
    <row r="4" spans="1:10" ht="15.5">
      <c r="A4" s="48" t="s">
        <v>98</v>
      </c>
      <c r="B4" s="48" t="s">
        <v>99</v>
      </c>
      <c r="C4" s="48" t="s">
        <v>100</v>
      </c>
      <c r="D4" s="48" t="s">
        <v>101</v>
      </c>
      <c r="E4" s="48" t="s">
        <v>102</v>
      </c>
      <c r="F4" s="48" t="s">
        <v>103</v>
      </c>
      <c r="G4" s="48" t="s">
        <v>100</v>
      </c>
      <c r="H4" s="48" t="s">
        <v>101</v>
      </c>
      <c r="I4" s="48" t="s">
        <v>102</v>
      </c>
      <c r="J4" s="48" t="s">
        <v>103</v>
      </c>
    </row>
    <row r="5" spans="1:10">
      <c r="A5" s="17">
        <v>1800</v>
      </c>
      <c r="B5" s="17">
        <f>A5/60/60</f>
        <v>0.5</v>
      </c>
      <c r="C5">
        <v>7.7328632880777508E-6</v>
      </c>
      <c r="D5">
        <f>C5*10^5</f>
        <v>0.77328632880777504</v>
      </c>
      <c r="E5">
        <v>8.146385389044475E-6</v>
      </c>
      <c r="F5">
        <f>E5*10^5</f>
        <v>0.81463853890444748</v>
      </c>
      <c r="G5">
        <v>8.9564966703721665E-6</v>
      </c>
      <c r="H5">
        <f>G5*10^5</f>
        <v>0.8956496670372166</v>
      </c>
      <c r="I5">
        <v>9.4958572110315222E-6</v>
      </c>
      <c r="J5">
        <f>I5*10^5</f>
        <v>0.9495857211031522</v>
      </c>
    </row>
    <row r="6" spans="1:10">
      <c r="A6" s="17">
        <v>3600</v>
      </c>
      <c r="B6" s="17">
        <f t="shared" ref="B6:B17" si="0">A6/60/60</f>
        <v>1</v>
      </c>
      <c r="C6">
        <v>1.7244092603511169E-5</v>
      </c>
      <c r="D6">
        <f t="shared" ref="D6:D17" si="1">C6*10^5</f>
        <v>1.724409260351117</v>
      </c>
      <c r="E6">
        <v>1.7600332839931012E-5</v>
      </c>
      <c r="F6">
        <f t="shared" ref="F6:F17" si="2">E6*10^5</f>
        <v>1.7600332839931012</v>
      </c>
      <c r="G6">
        <v>1.8768128128747423E-5</v>
      </c>
      <c r="H6">
        <f t="shared" ref="H6:H17" si="3">G6*10^5</f>
        <v>1.8768128128747423</v>
      </c>
      <c r="I6">
        <v>1.9123604615402259E-5</v>
      </c>
      <c r="J6">
        <f t="shared" ref="J6:J17" si="4">I6*10^5</f>
        <v>1.9123604615402259</v>
      </c>
    </row>
    <row r="7" spans="1:10">
      <c r="A7" s="17">
        <v>5400</v>
      </c>
      <c r="B7" s="17">
        <f t="shared" si="0"/>
        <v>1.5</v>
      </c>
      <c r="C7">
        <v>2.980307289385539E-5</v>
      </c>
      <c r="D7">
        <f t="shared" si="1"/>
        <v>2.9803072893855389</v>
      </c>
      <c r="E7">
        <v>3.0329139769536596E-5</v>
      </c>
      <c r="F7">
        <f t="shared" si="2"/>
        <v>3.0329139769536595</v>
      </c>
      <c r="G7">
        <v>2.8535003899415554E-5</v>
      </c>
      <c r="H7">
        <f t="shared" si="3"/>
        <v>2.8535003899415554</v>
      </c>
      <c r="I7">
        <v>2.9066583823749035E-5</v>
      </c>
      <c r="J7">
        <f t="shared" si="4"/>
        <v>2.9066583823749035</v>
      </c>
    </row>
    <row r="8" spans="1:10">
      <c r="A8" s="17">
        <v>7200</v>
      </c>
      <c r="B8" s="17">
        <f t="shared" si="0"/>
        <v>2</v>
      </c>
      <c r="C8">
        <v>3.3106588794812702E-5</v>
      </c>
      <c r="D8">
        <f t="shared" si="1"/>
        <v>3.3106588794812701</v>
      </c>
      <c r="E8">
        <v>3.3421447216465897E-5</v>
      </c>
      <c r="F8">
        <f t="shared" si="2"/>
        <v>3.3421447216465898</v>
      </c>
      <c r="G8">
        <v>3.318782758805621E-5</v>
      </c>
      <c r="H8">
        <f t="shared" si="3"/>
        <v>3.3187827588056211</v>
      </c>
      <c r="I8">
        <v>3.3558641304123879E-5</v>
      </c>
      <c r="J8">
        <f t="shared" si="4"/>
        <v>3.355864130412388</v>
      </c>
    </row>
    <row r="9" spans="1:10">
      <c r="A9" s="17">
        <v>9000</v>
      </c>
      <c r="B9" s="17">
        <f t="shared" si="0"/>
        <v>2.5</v>
      </c>
      <c r="C9">
        <v>4.1605804743299233E-5</v>
      </c>
      <c r="D9">
        <f t="shared" si="1"/>
        <v>4.1605804743299233</v>
      </c>
      <c r="E9">
        <v>4.1910212292884393E-5</v>
      </c>
      <c r="F9">
        <f t="shared" si="2"/>
        <v>4.191021229288439</v>
      </c>
      <c r="G9">
        <v>3.9997223145244378E-5</v>
      </c>
      <c r="H9">
        <f t="shared" si="3"/>
        <v>3.9997223145244378</v>
      </c>
      <c r="I9">
        <v>4.0316870971360021E-5</v>
      </c>
      <c r="J9">
        <f t="shared" si="4"/>
        <v>4.0316870971360022</v>
      </c>
    </row>
    <row r="10" spans="1:10">
      <c r="A10" s="17">
        <v>10740</v>
      </c>
      <c r="B10" s="17">
        <f t="shared" si="0"/>
        <v>2.9833333333333334</v>
      </c>
      <c r="C10">
        <v>4.376562192289394E-5</v>
      </c>
      <c r="D10">
        <f t="shared" si="1"/>
        <v>4.376562192289394</v>
      </c>
      <c r="E10">
        <v>4.4055529047057889E-5</v>
      </c>
      <c r="F10">
        <f t="shared" si="2"/>
        <v>4.4055529047057886</v>
      </c>
      <c r="G10">
        <v>4.2474151693091485E-5</v>
      </c>
      <c r="H10">
        <f t="shared" si="3"/>
        <v>4.2474151693091482</v>
      </c>
      <c r="I10">
        <v>4.2654826864367403E-5</v>
      </c>
      <c r="J10">
        <f t="shared" si="4"/>
        <v>4.2654826864367408</v>
      </c>
    </row>
    <row r="11" spans="1:10">
      <c r="A11" s="17">
        <v>14400</v>
      </c>
      <c r="B11" s="17">
        <f t="shared" si="0"/>
        <v>4</v>
      </c>
      <c r="C11">
        <v>5.1150264597761653E-5</v>
      </c>
      <c r="D11">
        <f t="shared" si="1"/>
        <v>5.115026459776165</v>
      </c>
      <c r="E11">
        <v>5.1606917056380202E-5</v>
      </c>
      <c r="F11">
        <f t="shared" si="2"/>
        <v>5.1606917056380199</v>
      </c>
      <c r="G11">
        <v>4.7352110963619291E-5</v>
      </c>
      <c r="H11">
        <f t="shared" si="3"/>
        <v>4.7352110963619287</v>
      </c>
      <c r="I11">
        <v>4.7584128057844355E-5</v>
      </c>
      <c r="J11">
        <f t="shared" si="4"/>
        <v>4.7584128057844355</v>
      </c>
    </row>
    <row r="12" spans="1:10">
      <c r="A12" s="17">
        <v>18000</v>
      </c>
      <c r="B12" s="17">
        <f t="shared" si="0"/>
        <v>5</v>
      </c>
      <c r="C12">
        <v>5.3042809476603773E-5</v>
      </c>
      <c r="D12">
        <f t="shared" si="1"/>
        <v>5.3042809476603772</v>
      </c>
      <c r="E12">
        <v>5.3032471762809857E-5</v>
      </c>
      <c r="F12">
        <f t="shared" si="2"/>
        <v>5.3032471762809861</v>
      </c>
      <c r="G12">
        <v>4.8082104642877871E-5</v>
      </c>
      <c r="H12">
        <f t="shared" si="3"/>
        <v>4.8082104642877868</v>
      </c>
      <c r="I12">
        <v>4.8004793937588642E-5</v>
      </c>
      <c r="J12">
        <f t="shared" si="4"/>
        <v>4.8004793937588639</v>
      </c>
    </row>
    <row r="13" spans="1:10">
      <c r="A13" s="17">
        <v>21600</v>
      </c>
      <c r="B13" s="17">
        <f t="shared" si="0"/>
        <v>6</v>
      </c>
      <c r="C13">
        <v>5.7792075691907174E-5</v>
      </c>
      <c r="D13">
        <f t="shared" si="1"/>
        <v>5.7792075691907172</v>
      </c>
      <c r="E13">
        <v>5.8107230047101734E-5</v>
      </c>
      <c r="F13">
        <f t="shared" si="2"/>
        <v>5.810723004710173</v>
      </c>
      <c r="G13">
        <v>5.0567585213556087E-5</v>
      </c>
      <c r="H13">
        <f t="shared" si="3"/>
        <v>5.0567585213556088</v>
      </c>
      <c r="I13">
        <v>5.0768107412166041E-5</v>
      </c>
      <c r="J13">
        <f t="shared" si="4"/>
        <v>5.0768107412166037</v>
      </c>
    </row>
    <row r="14" spans="1:10">
      <c r="A14" s="17">
        <v>25200</v>
      </c>
      <c r="B14" s="17">
        <f t="shared" si="0"/>
        <v>7</v>
      </c>
      <c r="C14">
        <v>5.659657317988402E-5</v>
      </c>
      <c r="D14">
        <f t="shared" si="1"/>
        <v>5.659657317988402</v>
      </c>
      <c r="E14">
        <v>5.678751630085199E-5</v>
      </c>
      <c r="F14">
        <f t="shared" si="2"/>
        <v>5.6787516300851992</v>
      </c>
      <c r="G14">
        <v>4.9348281390158742E-5</v>
      </c>
      <c r="H14">
        <f t="shared" si="3"/>
        <v>4.9348281390158739</v>
      </c>
      <c r="I14">
        <v>4.9785082797860872E-5</v>
      </c>
      <c r="J14">
        <f t="shared" si="4"/>
        <v>4.9785082797860873</v>
      </c>
    </row>
    <row r="15" spans="1:10">
      <c r="A15" s="17">
        <v>28800</v>
      </c>
      <c r="B15" s="17">
        <f t="shared" si="0"/>
        <v>8</v>
      </c>
      <c r="C15">
        <v>6.0350997406534592E-5</v>
      </c>
      <c r="D15">
        <f t="shared" si="1"/>
        <v>6.0350997406534592</v>
      </c>
      <c r="E15">
        <v>6.058809245143174E-5</v>
      </c>
      <c r="F15">
        <f t="shared" si="2"/>
        <v>6.0588092451431743</v>
      </c>
      <c r="G15">
        <v>5.1721955046296775E-5</v>
      </c>
      <c r="H15">
        <f t="shared" si="3"/>
        <v>5.1721955046296779</v>
      </c>
      <c r="I15">
        <v>5.2030589288243848E-5</v>
      </c>
      <c r="J15">
        <f t="shared" si="4"/>
        <v>5.2030589288243849</v>
      </c>
    </row>
    <row r="16" spans="1:10">
      <c r="A16" s="17">
        <v>32400</v>
      </c>
      <c r="B16" s="17">
        <f t="shared" si="0"/>
        <v>9</v>
      </c>
      <c r="C16">
        <v>5.8952827049342295E-5</v>
      </c>
      <c r="D16">
        <f t="shared" si="1"/>
        <v>5.8952827049342291</v>
      </c>
      <c r="E16">
        <v>5.9040401154536168E-5</v>
      </c>
      <c r="F16">
        <f t="shared" si="2"/>
        <v>5.9040401154536166</v>
      </c>
      <c r="G16">
        <v>5.0688026863383242E-5</v>
      </c>
      <c r="H16">
        <f t="shared" si="3"/>
        <v>5.0688026863383246</v>
      </c>
      <c r="I16">
        <v>5.0718793495773765E-5</v>
      </c>
      <c r="J16">
        <f t="shared" si="4"/>
        <v>5.0718793495773768</v>
      </c>
    </row>
    <row r="17" spans="1:17">
      <c r="A17" s="17">
        <v>36000</v>
      </c>
      <c r="B17" s="17">
        <f t="shared" si="0"/>
        <v>10</v>
      </c>
      <c r="C17">
        <v>7.1763683872922671E-5</v>
      </c>
      <c r="D17">
        <f t="shared" si="1"/>
        <v>7.1763683872922668</v>
      </c>
      <c r="E17">
        <v>7.1934697850956064E-5</v>
      </c>
      <c r="F17">
        <f t="shared" si="2"/>
        <v>7.1934697850956066</v>
      </c>
      <c r="G17">
        <v>5.3418361906286232E-5</v>
      </c>
      <c r="H17">
        <f t="shared" si="3"/>
        <v>5.3418361906286229</v>
      </c>
      <c r="I17">
        <v>5.3686097310539415E-5</v>
      </c>
      <c r="J17">
        <f t="shared" si="4"/>
        <v>5.3686097310539411</v>
      </c>
    </row>
    <row r="20" spans="1:17" s="2" customFormat="1" ht="18.5">
      <c r="A20" s="1" t="s">
        <v>104</v>
      </c>
      <c r="B20" s="44"/>
    </row>
    <row r="22" spans="1:17" ht="15.5">
      <c r="A22" s="45"/>
      <c r="B22" s="45"/>
      <c r="C22" s="46" t="s">
        <v>96</v>
      </c>
      <c r="D22" s="46"/>
      <c r="E22" s="47"/>
      <c r="F22" s="47"/>
      <c r="G22" s="46" t="s">
        <v>97</v>
      </c>
      <c r="H22" s="46"/>
      <c r="I22" s="45"/>
      <c r="J22" s="47"/>
      <c r="L22" s="47" t="s">
        <v>105</v>
      </c>
      <c r="M22" s="45"/>
      <c r="N22" s="46" t="s">
        <v>96</v>
      </c>
      <c r="O22" s="46"/>
      <c r="P22" s="47"/>
      <c r="Q22" s="47"/>
    </row>
    <row r="23" spans="1:17" ht="15.5">
      <c r="A23" s="48" t="s">
        <v>98</v>
      </c>
      <c r="B23" s="48" t="s">
        <v>99</v>
      </c>
      <c r="C23" s="48" t="s">
        <v>100</v>
      </c>
      <c r="D23" s="48" t="s">
        <v>101</v>
      </c>
      <c r="E23" s="48" t="s">
        <v>102</v>
      </c>
      <c r="F23" s="48" t="s">
        <v>103</v>
      </c>
      <c r="G23" s="48" t="s">
        <v>100</v>
      </c>
      <c r="H23" s="48" t="s">
        <v>101</v>
      </c>
      <c r="I23" s="48" t="s">
        <v>102</v>
      </c>
      <c r="J23" s="48" t="s">
        <v>103</v>
      </c>
      <c r="L23" s="48" t="s">
        <v>98</v>
      </c>
      <c r="M23" s="48" t="s">
        <v>99</v>
      </c>
      <c r="N23" s="48" t="s">
        <v>100</v>
      </c>
      <c r="O23" s="48" t="s">
        <v>101</v>
      </c>
      <c r="P23" s="48" t="s">
        <v>102</v>
      </c>
      <c r="Q23" s="48" t="s">
        <v>103</v>
      </c>
    </row>
    <row r="24" spans="1:17">
      <c r="A24" s="17">
        <v>1800</v>
      </c>
      <c r="B24" s="17">
        <f>A24/60/60</f>
        <v>0.5</v>
      </c>
      <c r="C24">
        <v>1.1440728856613568E-5</v>
      </c>
      <c r="D24">
        <f>C24*10^5</f>
        <v>1.1440728856613567</v>
      </c>
      <c r="E24">
        <v>1.1856755360490426E-5</v>
      </c>
      <c r="F24">
        <f>E24*10^5</f>
        <v>1.1856755360490425</v>
      </c>
      <c r="G24">
        <v>7.6706014439728429E-6</v>
      </c>
      <c r="H24">
        <f>G24*10^5</f>
        <v>0.76706014439728432</v>
      </c>
      <c r="I24">
        <v>8.8669337792713601E-6</v>
      </c>
      <c r="J24">
        <f>I24*10^5</f>
        <v>0.88669337792713598</v>
      </c>
      <c r="L24" s="17">
        <f>30*60</f>
        <v>1800</v>
      </c>
      <c r="M24">
        <f>L24/60/60</f>
        <v>0.5</v>
      </c>
      <c r="N24">
        <v>1.1182285082444971E-5</v>
      </c>
      <c r="O24">
        <f>N24*10^5</f>
        <v>1.1182285082444972</v>
      </c>
      <c r="P24">
        <v>1.3740159172033588E-5</v>
      </c>
      <c r="Q24">
        <f>P24*10^5</f>
        <v>1.3740159172033588</v>
      </c>
    </row>
    <row r="25" spans="1:17">
      <c r="A25" s="17">
        <v>3600</v>
      </c>
      <c r="B25" s="17">
        <f t="shared" ref="B25:B38" si="5">A25/60/60</f>
        <v>1</v>
      </c>
      <c r="C25">
        <v>1.9697564025258771E-5</v>
      </c>
      <c r="D25">
        <f t="shared" ref="D25:D38" si="6">C25*10^5</f>
        <v>1.9697564025258771</v>
      </c>
      <c r="E25">
        <v>1.9904181829719529E-5</v>
      </c>
      <c r="F25">
        <f t="shared" ref="F25:F38" si="7">E25*10^5</f>
        <v>1.9904181829719529</v>
      </c>
      <c r="G25">
        <v>1.4609972184669426E-5</v>
      </c>
      <c r="H25">
        <f t="shared" ref="H25:H38" si="8">G25*10^5</f>
        <v>1.4609972184669426</v>
      </c>
      <c r="I25">
        <v>1.5230206852886523E-5</v>
      </c>
      <c r="J25">
        <f t="shared" ref="J25:J38" si="9">I25*10^5</f>
        <v>1.5230206852886523</v>
      </c>
      <c r="L25" s="17">
        <f>L24+30*60</f>
        <v>3600</v>
      </c>
      <c r="M25">
        <f t="shared" ref="M25:M38" si="10">L25/60/60</f>
        <v>1</v>
      </c>
      <c r="N25">
        <v>2.0358623607679669E-5</v>
      </c>
      <c r="O25">
        <f t="shared" ref="O25:O38" si="11">N25*10^5</f>
        <v>2.0358623607679669</v>
      </c>
      <c r="P25">
        <v>2.2782068226262855E-5</v>
      </c>
      <c r="Q25">
        <f t="shared" ref="Q25:Q38" si="12">P25*10^5</f>
        <v>2.2782068226262857</v>
      </c>
    </row>
    <row r="26" spans="1:17">
      <c r="A26" s="17">
        <v>5400</v>
      </c>
      <c r="B26" s="17">
        <f t="shared" si="5"/>
        <v>1.5</v>
      </c>
      <c r="C26">
        <v>2.6570223404075849E-5</v>
      </c>
      <c r="D26">
        <f t="shared" si="6"/>
        <v>2.6570223404075848</v>
      </c>
      <c r="E26">
        <v>2.7053318375059043E-5</v>
      </c>
      <c r="F26">
        <f t="shared" si="7"/>
        <v>2.7053318375059043</v>
      </c>
      <c r="G26">
        <v>2.061947989595917E-5</v>
      </c>
      <c r="H26">
        <f t="shared" si="8"/>
        <v>2.0619479895959172</v>
      </c>
      <c r="I26">
        <v>2.1581722291103937E-5</v>
      </c>
      <c r="J26">
        <f t="shared" si="9"/>
        <v>2.1581722291103937</v>
      </c>
      <c r="L26" s="17">
        <f t="shared" ref="L26:L30" si="13">L25+30*60</f>
        <v>5400</v>
      </c>
      <c r="M26">
        <f t="shared" si="10"/>
        <v>1.5</v>
      </c>
      <c r="N26">
        <v>3.5460508218395227E-5</v>
      </c>
      <c r="O26">
        <f t="shared" si="11"/>
        <v>3.5460508218395228</v>
      </c>
      <c r="P26">
        <v>3.8689541928583465E-5</v>
      </c>
      <c r="Q26">
        <f t="shared" si="12"/>
        <v>3.8689541928583466</v>
      </c>
    </row>
    <row r="27" spans="1:17">
      <c r="A27" s="17">
        <v>7200</v>
      </c>
      <c r="B27" s="17">
        <f t="shared" si="5"/>
        <v>2</v>
      </c>
      <c r="C27">
        <v>3.3193807820596202E-5</v>
      </c>
      <c r="D27">
        <f t="shared" si="6"/>
        <v>3.3193807820596199</v>
      </c>
      <c r="E27">
        <v>3.3607008747823536E-5</v>
      </c>
      <c r="F27">
        <f t="shared" si="7"/>
        <v>3.3607008747823537</v>
      </c>
      <c r="G27">
        <v>2.5864871527689533E-5</v>
      </c>
      <c r="H27">
        <f t="shared" si="8"/>
        <v>2.5864871527689535</v>
      </c>
      <c r="I27">
        <v>2.6690346150913668E-5</v>
      </c>
      <c r="J27">
        <f t="shared" si="9"/>
        <v>2.6690346150913666</v>
      </c>
      <c r="L27" s="17">
        <f t="shared" si="13"/>
        <v>7200</v>
      </c>
      <c r="M27">
        <f t="shared" si="10"/>
        <v>2</v>
      </c>
      <c r="N27">
        <v>4.3996543719262753E-5</v>
      </c>
      <c r="O27">
        <f t="shared" si="11"/>
        <v>4.3996543719262755</v>
      </c>
      <c r="P27">
        <v>4.6170152280556586E-5</v>
      </c>
      <c r="Q27">
        <f t="shared" si="12"/>
        <v>4.6170152280556582</v>
      </c>
    </row>
    <row r="28" spans="1:17">
      <c r="A28" s="17">
        <v>9000</v>
      </c>
      <c r="B28" s="17">
        <f t="shared" si="5"/>
        <v>2.5</v>
      </c>
      <c r="C28">
        <v>4.0417340922044226E-5</v>
      </c>
      <c r="D28">
        <f t="shared" si="6"/>
        <v>4.0417340922044227</v>
      </c>
      <c r="E28">
        <v>4.1108235638660365E-5</v>
      </c>
      <c r="F28">
        <f t="shared" si="7"/>
        <v>4.1108235638660364</v>
      </c>
      <c r="G28">
        <v>3.0149016849125203E-5</v>
      </c>
      <c r="H28">
        <f t="shared" si="8"/>
        <v>3.0149016849125201</v>
      </c>
      <c r="I28">
        <v>3.1247842064583068E-5</v>
      </c>
      <c r="J28">
        <f t="shared" si="9"/>
        <v>3.1247842064583069</v>
      </c>
      <c r="L28" s="17">
        <f t="shared" si="13"/>
        <v>9000</v>
      </c>
      <c r="M28">
        <f t="shared" si="10"/>
        <v>2.5</v>
      </c>
      <c r="N28">
        <v>4.8258794479900004E-5</v>
      </c>
      <c r="O28">
        <f t="shared" si="11"/>
        <v>4.8258794479900002</v>
      </c>
      <c r="P28">
        <v>5.1135146468768216E-5</v>
      </c>
      <c r="Q28">
        <f t="shared" si="12"/>
        <v>5.1135146468768218</v>
      </c>
    </row>
    <row r="29" spans="1:17">
      <c r="A29" s="17">
        <v>10680</v>
      </c>
      <c r="B29" s="17">
        <f t="shared" si="5"/>
        <v>2.9666666666666668</v>
      </c>
      <c r="C29">
        <v>5.0910962744813625E-5</v>
      </c>
      <c r="D29">
        <f t="shared" si="6"/>
        <v>5.0910962744813624</v>
      </c>
      <c r="E29">
        <v>5.1530150129547841E-5</v>
      </c>
      <c r="F29">
        <f t="shared" si="7"/>
        <v>5.1530150129547838</v>
      </c>
      <c r="G29">
        <v>3.3569415125113616E-5</v>
      </c>
      <c r="H29">
        <f t="shared" si="8"/>
        <v>3.3569415125113617</v>
      </c>
      <c r="I29">
        <v>3.4871086323842509E-5</v>
      </c>
      <c r="J29">
        <f t="shared" si="9"/>
        <v>3.4871086323842508</v>
      </c>
      <c r="L29" s="17">
        <f t="shared" si="13"/>
        <v>10800</v>
      </c>
      <c r="M29">
        <f t="shared" si="10"/>
        <v>3</v>
      </c>
      <c r="N29">
        <v>5.3402011808260276E-5</v>
      </c>
      <c r="O29">
        <f t="shared" si="11"/>
        <v>5.3402011808260275</v>
      </c>
      <c r="P29">
        <v>5.5224921445257673E-5</v>
      </c>
      <c r="Q29">
        <f t="shared" si="12"/>
        <v>5.5224921445257671</v>
      </c>
    </row>
    <row r="30" spans="1:17">
      <c r="A30" s="17">
        <v>14400</v>
      </c>
      <c r="B30" s="17">
        <f t="shared" si="5"/>
        <v>4</v>
      </c>
      <c r="C30">
        <v>5.4715515345723798E-5</v>
      </c>
      <c r="D30">
        <f t="shared" si="6"/>
        <v>5.47155153457238</v>
      </c>
      <c r="E30">
        <v>6.0587761310858289E-5</v>
      </c>
      <c r="F30">
        <f t="shared" si="7"/>
        <v>6.0587761310858292</v>
      </c>
      <c r="G30">
        <v>3.8397962887318732E-5</v>
      </c>
      <c r="H30">
        <f t="shared" si="8"/>
        <v>3.8397962887318733</v>
      </c>
      <c r="I30">
        <v>3.7780852769486828E-5</v>
      </c>
      <c r="J30">
        <f t="shared" si="9"/>
        <v>3.778085276948683</v>
      </c>
      <c r="L30" s="17">
        <f t="shared" si="13"/>
        <v>12600</v>
      </c>
      <c r="M30">
        <f t="shared" si="10"/>
        <v>3.5</v>
      </c>
      <c r="N30">
        <v>5.7203221639183868E-5</v>
      </c>
      <c r="O30">
        <f t="shared" si="11"/>
        <v>5.7203221639183868</v>
      </c>
      <c r="P30">
        <v>5.9548376574398901E-5</v>
      </c>
      <c r="Q30">
        <f t="shared" si="12"/>
        <v>5.9548376574398905</v>
      </c>
    </row>
    <row r="31" spans="1:17">
      <c r="A31" s="17">
        <v>18060</v>
      </c>
      <c r="B31" s="17">
        <f t="shared" si="5"/>
        <v>5.0166666666666666</v>
      </c>
      <c r="C31">
        <v>5.5087199599465966E-5</v>
      </c>
      <c r="D31">
        <f t="shared" si="6"/>
        <v>5.508719959946597</v>
      </c>
      <c r="E31">
        <v>5.577321702909816E-5</v>
      </c>
      <c r="F31">
        <f t="shared" si="7"/>
        <v>5.5773217029098161</v>
      </c>
      <c r="G31">
        <v>4.3361170098353467E-5</v>
      </c>
      <c r="H31">
        <f t="shared" si="8"/>
        <v>4.3361170098353465</v>
      </c>
      <c r="I31">
        <v>4.1100635164316077E-5</v>
      </c>
      <c r="J31">
        <f t="shared" si="9"/>
        <v>4.1100635164316079</v>
      </c>
      <c r="L31" s="17">
        <f>L30+60*60</f>
        <v>16200</v>
      </c>
      <c r="M31">
        <f t="shared" si="10"/>
        <v>4.5</v>
      </c>
      <c r="N31">
        <v>6.0546635656427945E-5</v>
      </c>
      <c r="O31">
        <f t="shared" si="11"/>
        <v>6.0546635656427945</v>
      </c>
      <c r="P31">
        <v>6.225799280461159E-5</v>
      </c>
      <c r="Q31">
        <f t="shared" si="12"/>
        <v>6.2257992804611586</v>
      </c>
    </row>
    <row r="32" spans="1:17">
      <c r="A32" s="17">
        <v>21600</v>
      </c>
      <c r="B32" s="17">
        <f t="shared" si="5"/>
        <v>6</v>
      </c>
      <c r="C32">
        <v>5.4610006537910642E-5</v>
      </c>
      <c r="D32">
        <f t="shared" si="6"/>
        <v>5.4610006537910643</v>
      </c>
      <c r="E32">
        <v>5.5504125032863839E-5</v>
      </c>
      <c r="F32">
        <f t="shared" si="7"/>
        <v>5.5504125032863838</v>
      </c>
      <c r="G32">
        <v>4.5368035381511296E-5</v>
      </c>
      <c r="H32">
        <f t="shared" si="8"/>
        <v>4.5368035381511298</v>
      </c>
      <c r="I32">
        <v>4.3580809745269941E-5</v>
      </c>
      <c r="J32">
        <f t="shared" si="9"/>
        <v>4.3580809745269944</v>
      </c>
      <c r="L32" s="17">
        <f t="shared" ref="L32:L38" si="14">L31+60*60</f>
        <v>19800</v>
      </c>
      <c r="M32">
        <f t="shared" si="10"/>
        <v>5.5</v>
      </c>
      <c r="N32">
        <v>6.766708815404365E-5</v>
      </c>
      <c r="O32">
        <f t="shared" si="11"/>
        <v>6.7667088154043649</v>
      </c>
      <c r="P32">
        <v>7.0082235082950838E-5</v>
      </c>
      <c r="Q32">
        <f t="shared" si="12"/>
        <v>7.0082235082950834</v>
      </c>
    </row>
    <row r="33" spans="1:17">
      <c r="A33" s="17">
        <v>25200</v>
      </c>
      <c r="B33" s="17">
        <f t="shared" si="5"/>
        <v>7</v>
      </c>
      <c r="C33">
        <v>5.5666174187750207E-5</v>
      </c>
      <c r="D33">
        <f t="shared" si="6"/>
        <v>5.5666174187750208</v>
      </c>
      <c r="E33">
        <v>5.6353410906117482E-5</v>
      </c>
      <c r="F33">
        <f t="shared" si="7"/>
        <v>5.6353410906117478</v>
      </c>
      <c r="L33" s="17">
        <f t="shared" si="14"/>
        <v>23400</v>
      </c>
      <c r="M33">
        <f t="shared" si="10"/>
        <v>6.5</v>
      </c>
      <c r="N33">
        <v>6.2709739020925333E-5</v>
      </c>
      <c r="O33">
        <f t="shared" si="11"/>
        <v>6.2709739020925337</v>
      </c>
      <c r="P33">
        <v>6.4258233258686259E-5</v>
      </c>
      <c r="Q33">
        <f t="shared" si="12"/>
        <v>6.4258233258686257</v>
      </c>
    </row>
    <row r="34" spans="1:17">
      <c r="A34" s="17">
        <v>28800</v>
      </c>
      <c r="B34" s="17">
        <f t="shared" si="5"/>
        <v>8</v>
      </c>
      <c r="C34">
        <v>5.7218430761773094E-5</v>
      </c>
      <c r="D34">
        <f t="shared" si="6"/>
        <v>5.7218430761773096</v>
      </c>
      <c r="E34">
        <v>5.817893199758223E-5</v>
      </c>
      <c r="F34">
        <f t="shared" si="7"/>
        <v>5.8178931997582231</v>
      </c>
      <c r="G34">
        <v>4.7465821212367843E-5</v>
      </c>
      <c r="H34">
        <f t="shared" si="8"/>
        <v>4.7465821212367842</v>
      </c>
      <c r="I34">
        <v>4.6162568895843305E-5</v>
      </c>
      <c r="J34">
        <f t="shared" si="9"/>
        <v>4.6162568895843306</v>
      </c>
      <c r="L34" s="17">
        <f t="shared" si="14"/>
        <v>27000</v>
      </c>
      <c r="M34">
        <f t="shared" si="10"/>
        <v>7.5</v>
      </c>
      <c r="N34">
        <v>6.2930394174932585E-5</v>
      </c>
      <c r="O34">
        <f>N34*10^5</f>
        <v>6.2930394174932589</v>
      </c>
      <c r="P34">
        <v>6.4522701795193441E-5</v>
      </c>
      <c r="Q34">
        <f t="shared" si="12"/>
        <v>6.4522701795193438</v>
      </c>
    </row>
    <row r="35" spans="1:17">
      <c r="A35" s="17">
        <v>32400</v>
      </c>
      <c r="B35" s="17">
        <f t="shared" si="5"/>
        <v>9</v>
      </c>
      <c r="C35">
        <v>5.7498843829596588E-5</v>
      </c>
      <c r="D35">
        <f t="shared" si="6"/>
        <v>5.7498843829596584</v>
      </c>
      <c r="E35">
        <v>5.8326165323547607E-5</v>
      </c>
      <c r="F35">
        <f t="shared" si="7"/>
        <v>5.832616532354761</v>
      </c>
      <c r="G35">
        <v>4.7140424921486932E-5</v>
      </c>
      <c r="H35">
        <f t="shared" si="8"/>
        <v>4.7140424921486934</v>
      </c>
      <c r="I35">
        <v>4.5905304617867194E-5</v>
      </c>
      <c r="J35">
        <f t="shared" si="9"/>
        <v>4.5905304617867193</v>
      </c>
      <c r="L35" s="17">
        <f>L34+87*60</f>
        <v>32220</v>
      </c>
      <c r="M35">
        <f t="shared" si="10"/>
        <v>8.9499999999999993</v>
      </c>
      <c r="N35">
        <v>6.302709118554683E-5</v>
      </c>
      <c r="O35">
        <f t="shared" si="11"/>
        <v>6.3027091185546826</v>
      </c>
      <c r="P35">
        <v>6.4657175737535921E-5</v>
      </c>
      <c r="Q35">
        <f t="shared" si="12"/>
        <v>6.4657175737535919</v>
      </c>
    </row>
    <row r="36" spans="1:17">
      <c r="A36" s="17">
        <v>36000</v>
      </c>
      <c r="B36" s="17">
        <f t="shared" si="5"/>
        <v>10</v>
      </c>
      <c r="C36">
        <v>5.8362489223071154E-5</v>
      </c>
      <c r="D36">
        <f t="shared" si="6"/>
        <v>5.8362489223071154</v>
      </c>
      <c r="E36">
        <v>5.9536645810990928E-5</v>
      </c>
      <c r="F36">
        <f t="shared" si="7"/>
        <v>5.9536645810990931</v>
      </c>
      <c r="G36">
        <v>4.7691176037146368E-5</v>
      </c>
      <c r="H36">
        <f t="shared" si="8"/>
        <v>4.769117603714637</v>
      </c>
      <c r="I36">
        <v>4.6590081063705769E-5</v>
      </c>
      <c r="J36">
        <f t="shared" si="9"/>
        <v>4.6590081063705773</v>
      </c>
      <c r="L36" s="17">
        <f t="shared" si="14"/>
        <v>35820</v>
      </c>
      <c r="M36">
        <f t="shared" si="10"/>
        <v>9.9499999999999993</v>
      </c>
      <c r="N36">
        <v>6.4486478207522835E-5</v>
      </c>
      <c r="O36">
        <f t="shared" si="11"/>
        <v>6.4486478207522833</v>
      </c>
      <c r="P36">
        <v>6.5961220952393427E-5</v>
      </c>
      <c r="Q36">
        <f t="shared" si="12"/>
        <v>6.5961220952393429</v>
      </c>
    </row>
    <row r="37" spans="1:17">
      <c r="A37" s="17">
        <v>39600</v>
      </c>
      <c r="B37" s="17">
        <f t="shared" si="5"/>
        <v>11</v>
      </c>
      <c r="C37">
        <v>5.9205821792459826E-5</v>
      </c>
      <c r="D37">
        <f t="shared" si="6"/>
        <v>5.920582179245983</v>
      </c>
      <c r="E37">
        <v>6.0174141307757064E-5</v>
      </c>
      <c r="F37">
        <f t="shared" si="7"/>
        <v>6.0174141307757063</v>
      </c>
      <c r="G37">
        <v>4.7282216041244985E-5</v>
      </c>
      <c r="H37">
        <f t="shared" si="8"/>
        <v>4.7282216041244984</v>
      </c>
      <c r="I37">
        <v>4.6254341779478798E-5</v>
      </c>
      <c r="J37">
        <f t="shared" si="9"/>
        <v>4.6254341779478798</v>
      </c>
      <c r="L37" s="17">
        <f t="shared" si="14"/>
        <v>39420</v>
      </c>
      <c r="M37">
        <f t="shared" si="10"/>
        <v>10.95</v>
      </c>
      <c r="N37">
        <v>6.3289932979109398E-5</v>
      </c>
      <c r="O37">
        <f t="shared" si="11"/>
        <v>6.32899329791094</v>
      </c>
      <c r="P37">
        <v>6.5335087710174244E-5</v>
      </c>
      <c r="Q37">
        <f t="shared" si="12"/>
        <v>6.5335087710174244</v>
      </c>
    </row>
    <row r="38" spans="1:17">
      <c r="A38" s="17">
        <v>43200</v>
      </c>
      <c r="B38" s="17">
        <f t="shared" si="5"/>
        <v>12</v>
      </c>
      <c r="C38">
        <v>6.0973698838304032E-5</v>
      </c>
      <c r="D38">
        <f t="shared" si="6"/>
        <v>6.0973698838304031</v>
      </c>
      <c r="E38">
        <v>6.1251800087281475E-5</v>
      </c>
      <c r="F38">
        <f t="shared" si="7"/>
        <v>6.1251800087281474</v>
      </c>
      <c r="G38">
        <v>4.8309513582859456E-5</v>
      </c>
      <c r="H38">
        <f t="shared" si="8"/>
        <v>4.8309513582859456</v>
      </c>
      <c r="I38">
        <v>4.7007555060768221E-5</v>
      </c>
      <c r="J38">
        <f t="shared" si="9"/>
        <v>4.7007555060768222</v>
      </c>
      <c r="L38" s="17">
        <f t="shared" si="14"/>
        <v>43020</v>
      </c>
      <c r="M38">
        <f t="shared" si="10"/>
        <v>11.95</v>
      </c>
      <c r="N38">
        <v>6.4984566443226173E-5</v>
      </c>
      <c r="O38">
        <f t="shared" si="11"/>
        <v>6.4984566443226175</v>
      </c>
      <c r="P38">
        <v>6.5973313781554383E-5</v>
      </c>
      <c r="Q38">
        <f t="shared" si="12"/>
        <v>6.5973313781554381</v>
      </c>
    </row>
    <row r="41" spans="1:17" s="2" customFormat="1" ht="18.5">
      <c r="A41" s="1" t="s">
        <v>106</v>
      </c>
      <c r="B41" s="44"/>
    </row>
    <row r="43" spans="1:17" ht="15.5">
      <c r="A43" s="45"/>
      <c r="B43" s="45"/>
      <c r="C43" s="46" t="s">
        <v>96</v>
      </c>
      <c r="D43" s="46"/>
      <c r="E43" s="47"/>
      <c r="F43" s="47"/>
      <c r="G43" s="46" t="s">
        <v>97</v>
      </c>
      <c r="H43" s="46"/>
      <c r="I43" s="45"/>
      <c r="J43" s="47"/>
    </row>
    <row r="44" spans="1:17" ht="15.5">
      <c r="A44" s="48" t="s">
        <v>98</v>
      </c>
      <c r="B44" s="48" t="s">
        <v>99</v>
      </c>
      <c r="C44" s="48" t="s">
        <v>100</v>
      </c>
      <c r="D44" s="48" t="s">
        <v>101</v>
      </c>
      <c r="E44" s="48" t="s">
        <v>102</v>
      </c>
      <c r="F44" s="48" t="s">
        <v>103</v>
      </c>
      <c r="G44" s="48" t="s">
        <v>100</v>
      </c>
      <c r="H44" s="48" t="s">
        <v>101</v>
      </c>
      <c r="I44" s="48" t="s">
        <v>102</v>
      </c>
      <c r="J44" s="48" t="s">
        <v>103</v>
      </c>
    </row>
    <row r="45" spans="1:17">
      <c r="A45" s="17">
        <f>60*60</f>
        <v>3600</v>
      </c>
      <c r="B45">
        <f>A45/60/60</f>
        <v>1</v>
      </c>
      <c r="C45">
        <v>3.781505650757569E-6</v>
      </c>
      <c r="D45">
        <f>C45*10^5</f>
        <v>0.37815056507575689</v>
      </c>
      <c r="E45">
        <v>5.9716536758434264E-7</v>
      </c>
      <c r="F45">
        <f>E45*10^5</f>
        <v>5.9716536758434267E-2</v>
      </c>
      <c r="G45">
        <v>9.4401258185676034E-6</v>
      </c>
      <c r="H45">
        <f>G45*10^5</f>
        <v>0.94401258185676029</v>
      </c>
      <c r="I45">
        <v>9.7573530894278892E-6</v>
      </c>
      <c r="J45">
        <f>I45*10^5</f>
        <v>0.97573530894278893</v>
      </c>
    </row>
    <row r="46" spans="1:17">
      <c r="A46" s="17">
        <f>2*60*60+2*60</f>
        <v>7320</v>
      </c>
      <c r="B46">
        <f t="shared" ref="B46:B57" si="15">A46/60/60</f>
        <v>2.0333333333333332</v>
      </c>
      <c r="C46">
        <v>3.781505650757569E-6</v>
      </c>
      <c r="D46">
        <f t="shared" ref="D46:D57" si="16">C46*10^5</f>
        <v>0.37815056507575689</v>
      </c>
      <c r="E46">
        <v>3.9845164181776751E-6</v>
      </c>
      <c r="F46">
        <f t="shared" ref="F46:F57" si="17">E46*10^5</f>
        <v>0.39845164181776749</v>
      </c>
      <c r="G46">
        <v>1.7502777017076548E-5</v>
      </c>
      <c r="H46">
        <f t="shared" ref="H46:H57" si="18">G46*10^5</f>
        <v>1.7502777017076547</v>
      </c>
      <c r="I46">
        <v>1.7742683972614549E-5</v>
      </c>
      <c r="J46">
        <f t="shared" ref="J46:J57" si="19">I46*10^5</f>
        <v>1.7742683972614548</v>
      </c>
    </row>
    <row r="47" spans="1:17">
      <c r="A47" s="17">
        <f>3*60*60</f>
        <v>10800</v>
      </c>
      <c r="B47">
        <f t="shared" si="15"/>
        <v>3</v>
      </c>
      <c r="C47">
        <v>1.8895409061415754E-5</v>
      </c>
      <c r="D47">
        <f t="shared" si="16"/>
        <v>1.8895409061415753</v>
      </c>
      <c r="E47">
        <v>1.9190378716185329E-5</v>
      </c>
      <c r="F47">
        <f t="shared" si="17"/>
        <v>1.9190378716185328</v>
      </c>
      <c r="G47">
        <v>1.4229250535693039E-5</v>
      </c>
      <c r="H47">
        <f t="shared" si="18"/>
        <v>1.4229250535693039</v>
      </c>
      <c r="I47">
        <v>1.4649494449488219E-5</v>
      </c>
      <c r="J47">
        <f t="shared" si="19"/>
        <v>1.4649494449488218</v>
      </c>
    </row>
    <row r="48" spans="1:17">
      <c r="A48" s="17">
        <f>4*60*60</f>
        <v>14400</v>
      </c>
      <c r="B48">
        <f t="shared" si="15"/>
        <v>4</v>
      </c>
      <c r="C48">
        <v>1.6402081098305049E-5</v>
      </c>
      <c r="D48">
        <f t="shared" si="16"/>
        <v>1.640208109830505</v>
      </c>
      <c r="E48">
        <v>1.6610670514561583E-5</v>
      </c>
      <c r="F48">
        <f t="shared" si="17"/>
        <v>1.6610670514561583</v>
      </c>
      <c r="G48">
        <v>1.2628964671654998E-5</v>
      </c>
      <c r="H48">
        <f t="shared" si="18"/>
        <v>1.2628964671654999</v>
      </c>
      <c r="I48">
        <v>1.2935628272953464E-5</v>
      </c>
      <c r="J48">
        <f t="shared" si="19"/>
        <v>1.2935628272953463</v>
      </c>
    </row>
    <row r="49" spans="1:49">
      <c r="A49" s="17">
        <f>5*60*60</f>
        <v>18000</v>
      </c>
      <c r="B49">
        <f t="shared" si="15"/>
        <v>5</v>
      </c>
      <c r="C49">
        <v>1.5546091675527273E-5</v>
      </c>
      <c r="D49">
        <f t="shared" si="16"/>
        <v>1.5546091675527274</v>
      </c>
      <c r="E49">
        <v>1.5829124428056854E-5</v>
      </c>
      <c r="F49">
        <f t="shared" si="17"/>
        <v>1.5829124428056855</v>
      </c>
      <c r="G49">
        <v>1.1840199880996735E-5</v>
      </c>
      <c r="H49">
        <f t="shared" si="18"/>
        <v>1.1840199880996736</v>
      </c>
      <c r="I49">
        <v>1.2160676017816889E-5</v>
      </c>
      <c r="J49">
        <f t="shared" si="19"/>
        <v>1.2160676017816889</v>
      </c>
    </row>
    <row r="50" spans="1:49">
      <c r="A50" s="17">
        <f>7*60*60+5*60</f>
        <v>25500</v>
      </c>
      <c r="B50">
        <f t="shared" si="15"/>
        <v>7.083333333333333</v>
      </c>
      <c r="C50">
        <v>1.48992156443158E-5</v>
      </c>
      <c r="D50">
        <f t="shared" si="16"/>
        <v>1.48992156443158</v>
      </c>
      <c r="E50">
        <v>1.5004908826942772E-5</v>
      </c>
      <c r="F50">
        <f t="shared" si="17"/>
        <v>1.5004908826942771</v>
      </c>
      <c r="G50">
        <v>1.4591773575111623E-5</v>
      </c>
      <c r="H50">
        <f t="shared" si="18"/>
        <v>1.4591773575111624</v>
      </c>
      <c r="I50">
        <v>1.4799682958751305E-5</v>
      </c>
      <c r="J50">
        <f t="shared" si="19"/>
        <v>1.4799682958751306</v>
      </c>
    </row>
    <row r="51" spans="1:49">
      <c r="A51" s="17">
        <f>9*60*60+60</f>
        <v>32460</v>
      </c>
      <c r="B51">
        <f t="shared" si="15"/>
        <v>9.0166666666666675</v>
      </c>
      <c r="C51">
        <v>2.0278178055147684E-5</v>
      </c>
      <c r="D51">
        <f t="shared" si="16"/>
        <v>2.0278178055147684</v>
      </c>
      <c r="E51">
        <v>2.0534425523740735E-5</v>
      </c>
      <c r="F51">
        <f t="shared" si="17"/>
        <v>2.0534425523740736</v>
      </c>
      <c r="G51">
        <v>1.9744394840923082E-5</v>
      </c>
      <c r="H51">
        <f t="shared" si="18"/>
        <v>1.9744394840923083</v>
      </c>
      <c r="I51">
        <v>2.0082613805161929E-5</v>
      </c>
      <c r="J51">
        <f t="shared" si="19"/>
        <v>2.0082613805161929</v>
      </c>
    </row>
    <row r="52" spans="1:49">
      <c r="A52" s="17">
        <f>11*60*60</f>
        <v>39600</v>
      </c>
      <c r="B52">
        <f t="shared" si="15"/>
        <v>11</v>
      </c>
      <c r="C52">
        <v>2.2234734989265404E-5</v>
      </c>
      <c r="D52">
        <f t="shared" si="16"/>
        <v>2.2234734989265403</v>
      </c>
      <c r="E52">
        <v>2.2756101189013694E-5</v>
      </c>
      <c r="F52">
        <f t="shared" si="17"/>
        <v>2.2756101189013695</v>
      </c>
      <c r="G52">
        <v>2.1347053306001669E-5</v>
      </c>
      <c r="H52">
        <f t="shared" si="18"/>
        <v>2.1347053306001671</v>
      </c>
      <c r="I52">
        <v>2.1874055434069279E-5</v>
      </c>
      <c r="J52">
        <f t="shared" si="19"/>
        <v>2.1874055434069279</v>
      </c>
    </row>
    <row r="53" spans="1:49">
      <c r="A53" s="17">
        <f>13*60*60</f>
        <v>46800</v>
      </c>
      <c r="B53">
        <f t="shared" si="15"/>
        <v>13</v>
      </c>
      <c r="C53">
        <v>2.4471775034208466E-5</v>
      </c>
      <c r="D53">
        <f t="shared" si="16"/>
        <v>2.4471775034208467</v>
      </c>
      <c r="E53">
        <v>2.472138089941076E-5</v>
      </c>
      <c r="F53">
        <f t="shared" si="17"/>
        <v>2.4721380899410761</v>
      </c>
      <c r="G53">
        <v>2.2133744698301319E-5</v>
      </c>
      <c r="H53">
        <f t="shared" si="18"/>
        <v>2.2133744698301321</v>
      </c>
      <c r="I53">
        <v>2.236182075608241E-5</v>
      </c>
      <c r="J53">
        <f t="shared" si="19"/>
        <v>2.2361820756082409</v>
      </c>
    </row>
    <row r="54" spans="1:49">
      <c r="A54" s="17">
        <f>14*60*60</f>
        <v>50400</v>
      </c>
      <c r="B54">
        <f t="shared" si="15"/>
        <v>14</v>
      </c>
      <c r="C54">
        <v>2.440912968050634E-5</v>
      </c>
      <c r="D54">
        <f t="shared" si="16"/>
        <v>2.4409129680506338</v>
      </c>
      <c r="E54">
        <v>2.4724421490431972E-5</v>
      </c>
      <c r="F54">
        <f t="shared" si="17"/>
        <v>2.4724421490431974</v>
      </c>
      <c r="G54">
        <v>2.9261033604471554E-5</v>
      </c>
      <c r="H54">
        <f t="shared" si="18"/>
        <v>2.9261033604471556</v>
      </c>
      <c r="I54">
        <v>2.9526980203567908E-5</v>
      </c>
      <c r="J54">
        <f t="shared" si="19"/>
        <v>2.9526980203567907</v>
      </c>
    </row>
    <row r="55" spans="1:49">
      <c r="A55" s="17">
        <f>23*60*60+37*60</f>
        <v>85020</v>
      </c>
      <c r="B55">
        <f t="shared" si="15"/>
        <v>23.616666666666667</v>
      </c>
      <c r="C55">
        <v>2.7087401204593999E-5</v>
      </c>
      <c r="D55">
        <f t="shared" si="16"/>
        <v>2.7087401204593999</v>
      </c>
      <c r="E55">
        <v>2.7232530793902957E-5</v>
      </c>
      <c r="F55">
        <f t="shared" si="17"/>
        <v>2.7232530793902958</v>
      </c>
      <c r="G55">
        <v>3.2915742002543649E-5</v>
      </c>
      <c r="H55">
        <f t="shared" si="18"/>
        <v>3.2915742002543649</v>
      </c>
      <c r="I55">
        <v>3.3067316324690373E-5</v>
      </c>
      <c r="J55">
        <f t="shared" si="19"/>
        <v>3.3067316324690372</v>
      </c>
    </row>
    <row r="56" spans="1:49">
      <c r="A56" s="17">
        <f>A55+60*60</f>
        <v>88620</v>
      </c>
      <c r="B56">
        <f t="shared" si="15"/>
        <v>24.616666666666667</v>
      </c>
      <c r="C56">
        <v>2.6657702500787169E-5</v>
      </c>
      <c r="D56">
        <f t="shared" si="16"/>
        <v>2.665770250078717</v>
      </c>
      <c r="E56">
        <v>2.7265532850967984E-5</v>
      </c>
      <c r="F56">
        <f t="shared" si="17"/>
        <v>2.7265532850967982</v>
      </c>
      <c r="G56">
        <v>3.2828280146438401E-5</v>
      </c>
      <c r="H56">
        <f t="shared" si="18"/>
        <v>3.2828280146438402</v>
      </c>
      <c r="I56">
        <v>3.3003336847344765E-5</v>
      </c>
      <c r="J56">
        <f t="shared" si="19"/>
        <v>3.3003336847344764</v>
      </c>
    </row>
    <row r="57" spans="1:49">
      <c r="A57" s="17">
        <f>A56+60*60</f>
        <v>92220</v>
      </c>
      <c r="B57">
        <f t="shared" si="15"/>
        <v>25.616666666666667</v>
      </c>
      <c r="C57">
        <v>2.7820795558320631E-5</v>
      </c>
      <c r="D57">
        <f t="shared" si="16"/>
        <v>2.782079555832063</v>
      </c>
      <c r="E57">
        <v>2.7893934855607147E-5</v>
      </c>
      <c r="F57">
        <f t="shared" si="17"/>
        <v>2.7893934855607148</v>
      </c>
      <c r="G57">
        <v>3.3784038550066345E-5</v>
      </c>
      <c r="H57">
        <f t="shared" si="18"/>
        <v>3.3784038550066344</v>
      </c>
      <c r="I57">
        <v>3.381184720408431E-5</v>
      </c>
      <c r="J57">
        <f t="shared" si="19"/>
        <v>3.3811847204084309</v>
      </c>
    </row>
    <row r="60" spans="1:49" ht="18.5">
      <c r="A60" s="1" t="s">
        <v>107</v>
      </c>
      <c r="B60" s="4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2" spans="1:49" ht="15.5">
      <c r="A62" s="45"/>
      <c r="B62" s="45"/>
      <c r="C62" s="46" t="s">
        <v>96</v>
      </c>
      <c r="D62" s="46"/>
      <c r="E62" s="47"/>
      <c r="F62" s="47"/>
      <c r="G62" s="46" t="s">
        <v>97</v>
      </c>
      <c r="H62" s="46"/>
      <c r="I62" s="45"/>
      <c r="J62" s="47"/>
    </row>
    <row r="63" spans="1:49" ht="15.5">
      <c r="A63" s="48" t="s">
        <v>98</v>
      </c>
      <c r="B63" s="48" t="s">
        <v>99</v>
      </c>
      <c r="C63" s="48" t="s">
        <v>100</v>
      </c>
      <c r="D63" s="48" t="s">
        <v>101</v>
      </c>
      <c r="E63" s="48" t="s">
        <v>102</v>
      </c>
      <c r="F63" s="48" t="s">
        <v>103</v>
      </c>
      <c r="G63" s="48" t="s">
        <v>100</v>
      </c>
      <c r="H63" s="48" t="s">
        <v>101</v>
      </c>
      <c r="I63" s="48" t="s">
        <v>102</v>
      </c>
      <c r="J63" s="48" t="s">
        <v>103</v>
      </c>
    </row>
    <row r="64" spans="1:49">
      <c r="A64" s="17">
        <f>20*60</f>
        <v>1200</v>
      </c>
      <c r="B64">
        <f>A64/60/60</f>
        <v>0.33333333333333331</v>
      </c>
      <c r="C64">
        <v>3.9191170848733948E-5</v>
      </c>
      <c r="D64">
        <f>C64*10^5</f>
        <v>3.9191170848733949</v>
      </c>
      <c r="E64">
        <v>1.0065491966614729E-4</v>
      </c>
      <c r="F64">
        <f>E64*10^5</f>
        <v>10.065491966614729</v>
      </c>
      <c r="G64">
        <v>2.278162955780766E-5</v>
      </c>
      <c r="H64">
        <f>G64*10^5</f>
        <v>2.2781629557807661</v>
      </c>
      <c r="I64">
        <v>7.8228908778903839E-5</v>
      </c>
      <c r="J64">
        <f>I64*10^5</f>
        <v>7.8228908778903836</v>
      </c>
    </row>
    <row r="65" spans="1:49">
      <c r="A65" s="17">
        <f>60*60+60</f>
        <v>3660</v>
      </c>
      <c r="B65">
        <f t="shared" ref="B65:B77" si="20">A65/60/60</f>
        <v>1.0166666666666666</v>
      </c>
      <c r="C65">
        <v>1.3973809608378772E-4</v>
      </c>
      <c r="D65">
        <f t="shared" ref="D65:D77" si="21">C65*10^5</f>
        <v>13.973809608378772</v>
      </c>
      <c r="E65">
        <v>2.42924440464053E-4</v>
      </c>
      <c r="F65">
        <f t="shared" ref="F65:F77" si="22">E65*10^5</f>
        <v>24.292444046405301</v>
      </c>
      <c r="G65">
        <v>6.5469514353075966E-5</v>
      </c>
      <c r="H65">
        <f t="shared" ref="H65:H77" si="23">G65*10^5</f>
        <v>6.5469514353075962</v>
      </c>
      <c r="I65">
        <v>1.6251142255569229E-4</v>
      </c>
      <c r="J65">
        <f t="shared" ref="J65:J77" si="24">I65*10^5</f>
        <v>16.251142255569228</v>
      </c>
    </row>
    <row r="66" spans="1:49">
      <c r="A66" s="17">
        <f>1.5*60*60</f>
        <v>5400</v>
      </c>
      <c r="B66">
        <f t="shared" si="20"/>
        <v>1.5</v>
      </c>
      <c r="C66">
        <v>1.6292367161559038E-4</v>
      </c>
      <c r="D66">
        <f t="shared" si="21"/>
        <v>16.292367161559039</v>
      </c>
      <c r="E66">
        <v>2.7715528812721649E-4</v>
      </c>
      <c r="F66">
        <f t="shared" si="22"/>
        <v>27.715528812721647</v>
      </c>
      <c r="G66">
        <v>8.7649258346535747E-5</v>
      </c>
      <c r="H66">
        <f t="shared" si="23"/>
        <v>8.7649258346535746</v>
      </c>
      <c r="I66">
        <v>1.9060726115745233E-4</v>
      </c>
      <c r="J66">
        <f t="shared" si="24"/>
        <v>19.060726115745233</v>
      </c>
    </row>
    <row r="67" spans="1:49">
      <c r="A67" s="17">
        <f>2*60*60+60</f>
        <v>7260</v>
      </c>
      <c r="B67">
        <f t="shared" si="20"/>
        <v>2.0166666666666666</v>
      </c>
      <c r="C67">
        <v>1.7324789706042661E-4</v>
      </c>
      <c r="D67">
        <f t="shared" si="21"/>
        <v>17.324789706042662</v>
      </c>
      <c r="E67">
        <v>2.9130146827271297E-4</v>
      </c>
      <c r="F67">
        <f t="shared" si="22"/>
        <v>29.130146827271297</v>
      </c>
      <c r="G67">
        <v>1.0450201702030919E-4</v>
      </c>
      <c r="H67">
        <f t="shared" si="23"/>
        <v>10.450201702030919</v>
      </c>
      <c r="I67">
        <v>2.0927927475180639E-4</v>
      </c>
      <c r="J67">
        <f t="shared" si="24"/>
        <v>20.927927475180638</v>
      </c>
    </row>
    <row r="68" spans="1:49">
      <c r="A68" s="17">
        <f>2.5*60*60</f>
        <v>9000</v>
      </c>
      <c r="B68">
        <f t="shared" si="20"/>
        <v>2.5</v>
      </c>
      <c r="C68">
        <v>1.6457595116116941E-4</v>
      </c>
      <c r="D68">
        <f t="shared" si="21"/>
        <v>16.457595116116941</v>
      </c>
      <c r="E68">
        <v>2.8376021392922121E-4</v>
      </c>
      <c r="F68">
        <f t="shared" si="22"/>
        <v>28.376021392922123</v>
      </c>
      <c r="G68">
        <v>1.0736277385197423E-4</v>
      </c>
      <c r="H68">
        <f t="shared" si="23"/>
        <v>10.736277385197424</v>
      </c>
      <c r="I68">
        <v>2.1111913483938888E-4</v>
      </c>
      <c r="J68">
        <f t="shared" si="24"/>
        <v>21.111913483938888</v>
      </c>
    </row>
    <row r="69" spans="1:49">
      <c r="A69" s="17">
        <f>3*60*60</f>
        <v>10800</v>
      </c>
      <c r="B69">
        <f t="shared" si="20"/>
        <v>3</v>
      </c>
      <c r="C69">
        <v>1.5840853841772142E-4</v>
      </c>
      <c r="D69">
        <f t="shared" si="21"/>
        <v>15.840853841772143</v>
      </c>
      <c r="E69">
        <v>2.7411965439361533E-4</v>
      </c>
      <c r="F69">
        <f t="shared" si="22"/>
        <v>27.411965439361534</v>
      </c>
      <c r="G69">
        <v>1.089325070988606E-4</v>
      </c>
      <c r="H69">
        <f t="shared" si="23"/>
        <v>10.893250709886061</v>
      </c>
      <c r="I69">
        <v>2.1757648766066172E-4</v>
      </c>
      <c r="J69">
        <f t="shared" si="24"/>
        <v>21.757648766066172</v>
      </c>
    </row>
    <row r="70" spans="1:49">
      <c r="A70" s="17">
        <f>4*60*60</f>
        <v>14400</v>
      </c>
      <c r="B70">
        <f t="shared" si="20"/>
        <v>4</v>
      </c>
      <c r="C70">
        <v>1.6491983585439115E-4</v>
      </c>
      <c r="D70">
        <f t="shared" si="21"/>
        <v>16.491983585439115</v>
      </c>
      <c r="E70">
        <v>2.7631117550867747E-4</v>
      </c>
      <c r="F70">
        <f t="shared" si="22"/>
        <v>27.631117550867746</v>
      </c>
      <c r="G70">
        <v>1.1099591596849406E-4</v>
      </c>
      <c r="H70">
        <f t="shared" si="23"/>
        <v>11.099591596849406</v>
      </c>
      <c r="I70">
        <v>2.1959772144008498E-4</v>
      </c>
      <c r="J70">
        <f t="shared" si="24"/>
        <v>21.959772144008497</v>
      </c>
    </row>
    <row r="71" spans="1:49">
      <c r="A71" s="17">
        <f>5*60*60</f>
        <v>18000</v>
      </c>
      <c r="B71">
        <f t="shared" si="20"/>
        <v>5</v>
      </c>
      <c r="C71">
        <v>1.5556128438309685E-4</v>
      </c>
      <c r="D71">
        <f t="shared" si="21"/>
        <v>15.556128438309685</v>
      </c>
      <c r="E71">
        <v>2.5649789056425516E-4</v>
      </c>
      <c r="F71">
        <f t="shared" si="22"/>
        <v>25.649789056425515</v>
      </c>
      <c r="G71">
        <v>1.061937770926734E-4</v>
      </c>
      <c r="H71">
        <f t="shared" si="23"/>
        <v>10.61937770926734</v>
      </c>
      <c r="I71">
        <v>2.1013634002666482E-4</v>
      </c>
      <c r="J71">
        <f t="shared" si="24"/>
        <v>21.013634002666482</v>
      </c>
    </row>
    <row r="72" spans="1:49">
      <c r="A72" s="17">
        <f>6*60*60</f>
        <v>21600</v>
      </c>
      <c r="B72">
        <f t="shared" si="20"/>
        <v>6</v>
      </c>
      <c r="C72">
        <v>1.5113764279599072E-4</v>
      </c>
      <c r="D72">
        <f t="shared" si="21"/>
        <v>15.113764279599073</v>
      </c>
      <c r="E72">
        <v>2.4256266868381385E-4</v>
      </c>
      <c r="F72">
        <f t="shared" si="22"/>
        <v>24.256266868381385</v>
      </c>
      <c r="G72">
        <v>1.0340470106918524E-4</v>
      </c>
      <c r="H72">
        <f t="shared" si="23"/>
        <v>10.340470106918524</v>
      </c>
      <c r="I72">
        <v>2.0190008200128765E-4</v>
      </c>
      <c r="J72">
        <f t="shared" si="24"/>
        <v>20.190008200128766</v>
      </c>
    </row>
    <row r="73" spans="1:49">
      <c r="A73" s="17">
        <f>7*60*60</f>
        <v>25200</v>
      </c>
      <c r="B73">
        <f t="shared" si="20"/>
        <v>7</v>
      </c>
      <c r="C73">
        <v>1.530288847888345E-4</v>
      </c>
      <c r="D73">
        <f t="shared" si="21"/>
        <v>15.30288847888345</v>
      </c>
      <c r="E73">
        <v>2.3366603573720123E-4</v>
      </c>
      <c r="F73">
        <f t="shared" si="22"/>
        <v>23.366603573720123</v>
      </c>
      <c r="G73">
        <v>1.0894919741475664E-4</v>
      </c>
      <c r="H73">
        <f t="shared" si="23"/>
        <v>10.894919741475663</v>
      </c>
      <c r="I73">
        <v>1.9730794557690744E-4</v>
      </c>
      <c r="J73">
        <f t="shared" si="24"/>
        <v>19.730794557690743</v>
      </c>
    </row>
    <row r="74" spans="1:49">
      <c r="A74" s="17">
        <f>8*60*60</f>
        <v>28800</v>
      </c>
      <c r="B74">
        <f t="shared" si="20"/>
        <v>8</v>
      </c>
      <c r="C74">
        <v>1.4755964460519741E-4</v>
      </c>
      <c r="D74">
        <f t="shared" si="21"/>
        <v>14.755964460519742</v>
      </c>
      <c r="E74">
        <v>2.2007886536263346E-4</v>
      </c>
      <c r="F74">
        <f t="shared" si="22"/>
        <v>22.007886536263346</v>
      </c>
      <c r="G74">
        <v>1.1429395344857878E-4</v>
      </c>
      <c r="H74">
        <f t="shared" si="23"/>
        <v>11.429395344857879</v>
      </c>
      <c r="I74">
        <v>1.8782164347221962E-4</v>
      </c>
      <c r="J74">
        <f t="shared" si="24"/>
        <v>18.782164347221961</v>
      </c>
    </row>
    <row r="75" spans="1:49">
      <c r="A75" s="17">
        <f>9*60*60</f>
        <v>32400</v>
      </c>
      <c r="B75">
        <f t="shared" si="20"/>
        <v>9</v>
      </c>
      <c r="C75">
        <v>1.5813889455425128E-4</v>
      </c>
      <c r="D75">
        <f t="shared" si="21"/>
        <v>15.813889455425128</v>
      </c>
      <c r="E75">
        <v>2.133719829954352E-4</v>
      </c>
      <c r="F75">
        <f t="shared" si="22"/>
        <v>21.33719829954352</v>
      </c>
      <c r="G75">
        <v>1.2231699044393593E-4</v>
      </c>
      <c r="H75">
        <f t="shared" si="23"/>
        <v>12.231699044393594</v>
      </c>
      <c r="I75">
        <v>1.8541664345481527E-4</v>
      </c>
      <c r="J75">
        <f t="shared" si="24"/>
        <v>18.541664345481529</v>
      </c>
    </row>
    <row r="76" spans="1:49">
      <c r="A76" s="17">
        <f>10*60*60</f>
        <v>36000</v>
      </c>
      <c r="B76">
        <f t="shared" si="20"/>
        <v>10</v>
      </c>
      <c r="C76">
        <v>1.6771406686772177E-4</v>
      </c>
      <c r="D76">
        <f t="shared" si="21"/>
        <v>16.771406686772178</v>
      </c>
      <c r="E76">
        <v>2.1150879705568619E-4</v>
      </c>
      <c r="F76">
        <f t="shared" si="22"/>
        <v>21.15087970556862</v>
      </c>
      <c r="G76">
        <v>1.3291683941341948E-4</v>
      </c>
      <c r="H76">
        <f t="shared" si="23"/>
        <v>13.291683941341947</v>
      </c>
      <c r="I76">
        <v>1.8389910986333748E-4</v>
      </c>
      <c r="J76">
        <f t="shared" si="24"/>
        <v>18.389910986333749</v>
      </c>
    </row>
    <row r="77" spans="1:49">
      <c r="A77" s="17">
        <f>11*60*60-10*60</f>
        <v>39000</v>
      </c>
      <c r="B77">
        <f t="shared" si="20"/>
        <v>10.833333333333334</v>
      </c>
      <c r="C77">
        <v>1.6375373968085464E-4</v>
      </c>
      <c r="D77">
        <f t="shared" si="21"/>
        <v>16.375373968085466</v>
      </c>
      <c r="E77">
        <v>2.0810060816573597E-4</v>
      </c>
      <c r="F77">
        <f t="shared" si="22"/>
        <v>20.810060816573596</v>
      </c>
      <c r="G77">
        <v>1.335954224608572E-4</v>
      </c>
      <c r="H77">
        <f t="shared" si="23"/>
        <v>13.35954224608572</v>
      </c>
      <c r="I77">
        <v>1.7745868044723433E-4</v>
      </c>
      <c r="J77">
        <f t="shared" si="24"/>
        <v>17.745868044723434</v>
      </c>
    </row>
    <row r="80" spans="1:49" ht="18.5">
      <c r="A80" s="1" t="s">
        <v>108</v>
      </c>
      <c r="B80" s="4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2" spans="1:21" ht="15.5">
      <c r="A82" s="45"/>
      <c r="B82" s="45"/>
      <c r="C82" s="46" t="s">
        <v>96</v>
      </c>
      <c r="D82" s="46"/>
      <c r="E82" s="47"/>
      <c r="F82" s="47"/>
      <c r="G82" s="46" t="s">
        <v>97</v>
      </c>
      <c r="H82" s="46"/>
      <c r="I82" s="45"/>
      <c r="J82" s="47"/>
      <c r="L82" s="47" t="s">
        <v>105</v>
      </c>
      <c r="M82" s="45"/>
      <c r="N82" s="46" t="s">
        <v>96</v>
      </c>
      <c r="O82" s="46"/>
      <c r="P82" s="47"/>
      <c r="Q82" s="47"/>
      <c r="R82" s="49"/>
      <c r="S82" s="49"/>
      <c r="U82" s="50"/>
    </row>
    <row r="83" spans="1:21" ht="15.5">
      <c r="A83" s="48" t="s">
        <v>98</v>
      </c>
      <c r="B83" s="48" t="s">
        <v>99</v>
      </c>
      <c r="C83" s="48" t="s">
        <v>100</v>
      </c>
      <c r="D83" s="48" t="s">
        <v>101</v>
      </c>
      <c r="E83" s="48" t="s">
        <v>102</v>
      </c>
      <c r="F83" s="48" t="s">
        <v>103</v>
      </c>
      <c r="G83" s="48" t="s">
        <v>100</v>
      </c>
      <c r="H83" s="48" t="s">
        <v>101</v>
      </c>
      <c r="I83" s="48" t="s">
        <v>102</v>
      </c>
      <c r="J83" s="48" t="s">
        <v>103</v>
      </c>
      <c r="L83" s="48" t="s">
        <v>98</v>
      </c>
      <c r="M83" s="48" t="s">
        <v>99</v>
      </c>
      <c r="N83" s="48" t="s">
        <v>100</v>
      </c>
      <c r="O83" s="48" t="s">
        <v>101</v>
      </c>
      <c r="P83" s="48" t="s">
        <v>102</v>
      </c>
      <c r="Q83" s="48" t="s">
        <v>103</v>
      </c>
      <c r="R83" s="49"/>
      <c r="S83" s="49"/>
      <c r="T83" s="49"/>
      <c r="U83" s="49"/>
    </row>
    <row r="84" spans="1:21">
      <c r="A84" s="17">
        <f>0.5*60*60</f>
        <v>1800</v>
      </c>
      <c r="B84">
        <f>A84/60/60</f>
        <v>0.5</v>
      </c>
      <c r="C84">
        <v>1.6031935863344858E-5</v>
      </c>
      <c r="D84">
        <f>C84*10^5</f>
        <v>1.6031935863344857</v>
      </c>
      <c r="E84">
        <v>1.0371428046338219E-4</v>
      </c>
      <c r="F84">
        <f>E84*10^5</f>
        <v>10.371428046338218</v>
      </c>
      <c r="G84">
        <v>8.5043502664438978E-6</v>
      </c>
      <c r="H84">
        <f>G84*10^5</f>
        <v>0.85043502664438975</v>
      </c>
      <c r="I84">
        <v>8.2459714479491973E-5</v>
      </c>
      <c r="J84">
        <f>I84*10^5</f>
        <v>8.2459714479491968</v>
      </c>
      <c r="L84" s="17">
        <f>30*60</f>
        <v>1800</v>
      </c>
      <c r="M84">
        <f>L84/60/60</f>
        <v>0.5</v>
      </c>
      <c r="N84">
        <v>7.0100563479950453E-5</v>
      </c>
      <c r="O84">
        <f>N84*10^5</f>
        <v>7.0100563479950457</v>
      </c>
      <c r="P84">
        <v>1.246285699099189E-4</v>
      </c>
      <c r="Q84">
        <f>P84*10^5</f>
        <v>12.46285699099189</v>
      </c>
    </row>
    <row r="85" spans="1:21">
      <c r="A85" s="17">
        <f>60*60</f>
        <v>3600</v>
      </c>
      <c r="B85">
        <f t="shared" ref="B85:B97" si="25">A85/60/60</f>
        <v>1</v>
      </c>
      <c r="C85">
        <v>2.6011750276088645E-5</v>
      </c>
      <c r="D85">
        <f t="shared" ref="D85:D97" si="26">C85*10^5</f>
        <v>2.6011750276088645</v>
      </c>
      <c r="E85">
        <v>1.4166870516814774E-4</v>
      </c>
      <c r="F85">
        <f t="shared" ref="F85:F97" si="27">E85*10^5</f>
        <v>14.166870516814773</v>
      </c>
      <c r="G85">
        <v>1.3916418721720408E-5</v>
      </c>
      <c r="H85">
        <f t="shared" ref="H85:H97" si="28">G85*10^5</f>
        <v>1.3916418721720407</v>
      </c>
      <c r="I85">
        <v>1.2759697037843868E-4</v>
      </c>
      <c r="J85">
        <f t="shared" ref="J85:J97" si="29">I85*10^5</f>
        <v>12.759697037843868</v>
      </c>
      <c r="L85" s="17">
        <f>L84+30*60</f>
        <v>3600</v>
      </c>
      <c r="M85">
        <f t="shared" ref="M85:M96" si="30">L85/60/60</f>
        <v>1</v>
      </c>
      <c r="N85">
        <v>1.2536445897799904E-4</v>
      </c>
      <c r="O85">
        <f t="shared" ref="O85:O96" si="31">N85*10^5</f>
        <v>12.536445897799904</v>
      </c>
      <c r="P85">
        <v>2.068234530624704E-4</v>
      </c>
      <c r="Q85">
        <f t="shared" ref="Q85:Q96" si="32">P85*10^5</f>
        <v>20.68234530624704</v>
      </c>
    </row>
    <row r="86" spans="1:21">
      <c r="A86" s="17">
        <f>1.5*60*60</f>
        <v>5400</v>
      </c>
      <c r="B86">
        <f t="shared" si="25"/>
        <v>1.5</v>
      </c>
      <c r="C86">
        <v>4.1041715132588972E-5</v>
      </c>
      <c r="D86">
        <f t="shared" si="26"/>
        <v>4.1041715132588976</v>
      </c>
      <c r="E86">
        <v>1.7978600998461283E-4</v>
      </c>
      <c r="F86">
        <f t="shared" si="27"/>
        <v>17.978600998461282</v>
      </c>
      <c r="G86">
        <v>2.4365131709446631E-5</v>
      </c>
      <c r="H86">
        <f t="shared" si="28"/>
        <v>2.436513170944663</v>
      </c>
      <c r="I86">
        <v>1.6081023813316344E-4</v>
      </c>
      <c r="J86">
        <f t="shared" si="29"/>
        <v>16.081023813316346</v>
      </c>
      <c r="L86" s="17">
        <f t="shared" ref="L86:L89" si="33">L85+30*60</f>
        <v>5400</v>
      </c>
      <c r="M86">
        <f t="shared" si="30"/>
        <v>1.5</v>
      </c>
      <c r="N86">
        <v>1.5768377473374343E-4</v>
      </c>
      <c r="O86">
        <f t="shared" si="31"/>
        <v>15.768377473374343</v>
      </c>
      <c r="P86">
        <v>2.6096490090403489E-4</v>
      </c>
      <c r="Q86">
        <f t="shared" si="32"/>
        <v>26.096490090403488</v>
      </c>
    </row>
    <row r="87" spans="1:21">
      <c r="A87" s="17">
        <f>2*60*60</f>
        <v>7200</v>
      </c>
      <c r="B87">
        <f t="shared" si="25"/>
        <v>2</v>
      </c>
      <c r="C87">
        <v>4.5677266102848378E-5</v>
      </c>
      <c r="D87">
        <f t="shared" si="26"/>
        <v>4.5677266102848382</v>
      </c>
      <c r="E87">
        <v>1.9483950576329624E-4</v>
      </c>
      <c r="F87">
        <f t="shared" si="27"/>
        <v>19.483950576329626</v>
      </c>
      <c r="G87">
        <v>3.2087531299427399E-5</v>
      </c>
      <c r="H87">
        <f t="shared" si="28"/>
        <v>3.2087531299427399</v>
      </c>
      <c r="I87">
        <v>1.7717079420353604E-4</v>
      </c>
      <c r="J87">
        <f t="shared" si="29"/>
        <v>17.717079420353603</v>
      </c>
      <c r="L87" s="17">
        <f t="shared" si="33"/>
        <v>7200</v>
      </c>
      <c r="M87">
        <f t="shared" si="30"/>
        <v>2</v>
      </c>
      <c r="N87">
        <v>1.7537175582541431E-4</v>
      </c>
      <c r="O87">
        <f t="shared" si="31"/>
        <v>17.53717558254143</v>
      </c>
      <c r="P87">
        <v>2.6411473184411301E-4</v>
      </c>
      <c r="Q87">
        <f t="shared" si="32"/>
        <v>26.4114731844113</v>
      </c>
    </row>
    <row r="88" spans="1:21">
      <c r="A88" s="17">
        <f>2.5*60*60</f>
        <v>9000</v>
      </c>
      <c r="B88">
        <f t="shared" si="25"/>
        <v>2.5</v>
      </c>
      <c r="C88">
        <v>5.1041015155615201E-5</v>
      </c>
      <c r="D88">
        <f t="shared" si="26"/>
        <v>5.1041015155615206</v>
      </c>
      <c r="E88">
        <v>2.0910724532178181E-4</v>
      </c>
      <c r="F88">
        <f t="shared" si="27"/>
        <v>20.910724532178182</v>
      </c>
      <c r="G88">
        <v>3.6657896754399658E-5</v>
      </c>
      <c r="H88">
        <f t="shared" si="28"/>
        <v>3.6657896754399659</v>
      </c>
      <c r="I88">
        <v>1.921922691840324E-4</v>
      </c>
      <c r="J88">
        <f t="shared" si="29"/>
        <v>19.21922691840324</v>
      </c>
      <c r="L88" s="17">
        <f t="shared" si="33"/>
        <v>9000</v>
      </c>
      <c r="M88">
        <f t="shared" si="30"/>
        <v>2.5</v>
      </c>
      <c r="N88">
        <v>1.6535152233813693E-4</v>
      </c>
      <c r="O88">
        <f t="shared" si="31"/>
        <v>16.535152233813694</v>
      </c>
      <c r="P88">
        <v>2.5433080543551861E-4</v>
      </c>
      <c r="Q88">
        <f t="shared" si="32"/>
        <v>25.43308054355186</v>
      </c>
    </row>
    <row r="89" spans="1:21">
      <c r="A89" s="17">
        <f>3*60*60</f>
        <v>10800</v>
      </c>
      <c r="B89">
        <f t="shared" si="25"/>
        <v>3</v>
      </c>
      <c r="C89">
        <v>5.1057955086172655E-5</v>
      </c>
      <c r="D89">
        <f t="shared" si="26"/>
        <v>5.1057955086172653</v>
      </c>
      <c r="E89">
        <v>2.0705153264455526E-4</v>
      </c>
      <c r="F89">
        <f t="shared" si="27"/>
        <v>20.705153264455525</v>
      </c>
      <c r="G89">
        <v>3.9857743675634781E-5</v>
      </c>
      <c r="H89">
        <f t="shared" si="28"/>
        <v>3.985774367563478</v>
      </c>
      <c r="I89">
        <v>1.9526883359208518E-4</v>
      </c>
      <c r="J89">
        <f t="shared" si="29"/>
        <v>19.526883359208519</v>
      </c>
      <c r="L89" s="17">
        <f t="shared" si="33"/>
        <v>10800</v>
      </c>
      <c r="M89">
        <f t="shared" si="30"/>
        <v>3</v>
      </c>
      <c r="N89">
        <v>1.5728110813989006E-4</v>
      </c>
      <c r="O89">
        <f t="shared" si="31"/>
        <v>15.728110813989005</v>
      </c>
      <c r="P89">
        <v>2.387648332220216E-4</v>
      </c>
      <c r="Q89">
        <f t="shared" si="32"/>
        <v>23.876483322202162</v>
      </c>
    </row>
    <row r="90" spans="1:21">
      <c r="A90" s="17">
        <f>4*60*60</f>
        <v>14400</v>
      </c>
      <c r="B90">
        <f t="shared" si="25"/>
        <v>4</v>
      </c>
      <c r="C90">
        <v>5.1023063831062475E-5</v>
      </c>
      <c r="D90">
        <f t="shared" si="26"/>
        <v>5.1023063831062476</v>
      </c>
      <c r="E90">
        <v>2.102949646019713E-4</v>
      </c>
      <c r="F90">
        <f t="shared" si="27"/>
        <v>21.02949646019713</v>
      </c>
      <c r="G90">
        <v>4.4722538142169108E-5</v>
      </c>
      <c r="H90">
        <f t="shared" si="28"/>
        <v>4.472253814216911</v>
      </c>
      <c r="I90">
        <v>1.9935241600875763E-4</v>
      </c>
      <c r="J90">
        <f t="shared" si="29"/>
        <v>19.935241600875763</v>
      </c>
      <c r="L90" s="17">
        <f>L89+60*60</f>
        <v>14400</v>
      </c>
      <c r="M90">
        <f t="shared" si="30"/>
        <v>4</v>
      </c>
      <c r="N90">
        <v>1.2069141955317035E-4</v>
      </c>
      <c r="O90">
        <f t="shared" si="31"/>
        <v>12.069141955317034</v>
      </c>
      <c r="P90">
        <v>2.1875453099455915E-4</v>
      </c>
      <c r="Q90">
        <f t="shared" si="32"/>
        <v>21.875453099455914</v>
      </c>
    </row>
    <row r="91" spans="1:21">
      <c r="A91" s="17">
        <f>5*60*60</f>
        <v>18000</v>
      </c>
      <c r="B91">
        <f t="shared" si="25"/>
        <v>5</v>
      </c>
      <c r="C91">
        <v>4.93988255096594E-5</v>
      </c>
      <c r="D91">
        <f t="shared" si="26"/>
        <v>4.9398825509659403</v>
      </c>
      <c r="E91">
        <v>2.0205905586925628E-4</v>
      </c>
      <c r="F91">
        <f t="shared" si="27"/>
        <v>20.205905586925628</v>
      </c>
      <c r="G91">
        <v>4.2338176121446969E-5</v>
      </c>
      <c r="H91">
        <f t="shared" si="28"/>
        <v>4.2338176121446969</v>
      </c>
      <c r="I91">
        <v>1.8724724639255534E-4</v>
      </c>
      <c r="J91">
        <f t="shared" si="29"/>
        <v>18.724724639255534</v>
      </c>
      <c r="L91" s="17">
        <f t="shared" ref="L91:L96" si="34">L90+60*60</f>
        <v>18000</v>
      </c>
      <c r="M91">
        <f t="shared" si="30"/>
        <v>5</v>
      </c>
      <c r="N91">
        <v>1.1190646894326194E-4</v>
      </c>
      <c r="O91">
        <f t="shared" si="31"/>
        <v>11.190646894326195</v>
      </c>
      <c r="P91">
        <v>1.8500381599334444E-4</v>
      </c>
      <c r="Q91">
        <f t="shared" si="32"/>
        <v>18.500381599334446</v>
      </c>
    </row>
    <row r="92" spans="1:21">
      <c r="A92" s="17">
        <f>6*60*60</f>
        <v>21600</v>
      </c>
      <c r="B92">
        <f t="shared" si="25"/>
        <v>6</v>
      </c>
      <c r="C92">
        <v>4.7424429928665536E-5</v>
      </c>
      <c r="D92">
        <f t="shared" si="26"/>
        <v>4.7424429928665539</v>
      </c>
      <c r="E92">
        <v>1.9718540303913666E-4</v>
      </c>
      <c r="F92">
        <f t="shared" si="27"/>
        <v>19.718540303913667</v>
      </c>
      <c r="G92">
        <v>4.1625438726980644E-5</v>
      </c>
      <c r="H92">
        <f t="shared" si="28"/>
        <v>4.1625438726980644</v>
      </c>
      <c r="I92">
        <v>1.876584580330987E-4</v>
      </c>
      <c r="J92">
        <f t="shared" si="29"/>
        <v>18.765845803309869</v>
      </c>
      <c r="L92" s="17">
        <f t="shared" si="34"/>
        <v>21600</v>
      </c>
      <c r="M92">
        <f t="shared" si="30"/>
        <v>6</v>
      </c>
      <c r="N92">
        <v>1.0524340124861732E-4</v>
      </c>
      <c r="O92">
        <f t="shared" si="31"/>
        <v>10.524340124861732</v>
      </c>
      <c r="P92">
        <v>1.684608576897709E-4</v>
      </c>
      <c r="Q92">
        <f t="shared" si="32"/>
        <v>16.84608576897709</v>
      </c>
    </row>
    <row r="93" spans="1:21">
      <c r="A93" s="17">
        <f>7*60*60</f>
        <v>25200</v>
      </c>
      <c r="B93">
        <f t="shared" si="25"/>
        <v>7</v>
      </c>
      <c r="C93">
        <v>4.7167270544146369E-5</v>
      </c>
      <c r="D93">
        <f t="shared" si="26"/>
        <v>4.7167270544146369</v>
      </c>
      <c r="E93">
        <v>1.9089586574546846E-4</v>
      </c>
      <c r="F93">
        <f t="shared" si="27"/>
        <v>19.089586574546846</v>
      </c>
      <c r="G93">
        <v>3.9530169801203862E-5</v>
      </c>
      <c r="H93">
        <f t="shared" si="28"/>
        <v>3.953016980120386</v>
      </c>
      <c r="I93">
        <v>1.7614808709574158E-4</v>
      </c>
      <c r="J93">
        <f t="shared" si="29"/>
        <v>17.614808709574159</v>
      </c>
      <c r="L93" s="17">
        <f t="shared" si="34"/>
        <v>25200</v>
      </c>
      <c r="M93">
        <f t="shared" si="30"/>
        <v>7</v>
      </c>
      <c r="N93">
        <v>1.0434563692662333E-4</v>
      </c>
      <c r="O93">
        <f t="shared" si="31"/>
        <v>10.434563692662334</v>
      </c>
      <c r="P93">
        <v>1.6638299228041834E-4</v>
      </c>
      <c r="Q93">
        <f t="shared" si="32"/>
        <v>16.638299228041834</v>
      </c>
    </row>
    <row r="94" spans="1:21">
      <c r="A94" s="17">
        <f>8*60*60</f>
        <v>28800</v>
      </c>
      <c r="B94">
        <f t="shared" si="25"/>
        <v>8</v>
      </c>
      <c r="C94">
        <v>4.6997912106937658E-5</v>
      </c>
      <c r="D94">
        <f t="shared" si="26"/>
        <v>4.6997912106937658</v>
      </c>
      <c r="E94">
        <v>1.8711208125437722E-4</v>
      </c>
      <c r="F94">
        <f t="shared" si="27"/>
        <v>18.711208125437722</v>
      </c>
      <c r="G94">
        <v>3.9514905225295975E-5</v>
      </c>
      <c r="H94">
        <f t="shared" si="28"/>
        <v>3.9514905225295975</v>
      </c>
      <c r="I94">
        <v>1.7108588189267124E-4</v>
      </c>
      <c r="J94">
        <f t="shared" si="29"/>
        <v>17.108588189267124</v>
      </c>
      <c r="L94" s="17">
        <f t="shared" si="34"/>
        <v>28800</v>
      </c>
      <c r="M94">
        <f t="shared" si="30"/>
        <v>8</v>
      </c>
    </row>
    <row r="95" spans="1:21">
      <c r="A95" s="17">
        <f>9*60*60</f>
        <v>32400</v>
      </c>
      <c r="B95">
        <f t="shared" si="25"/>
        <v>9</v>
      </c>
      <c r="C95">
        <v>4.8541920333437384E-5</v>
      </c>
      <c r="D95">
        <f t="shared" si="26"/>
        <v>4.8541920333437387</v>
      </c>
      <c r="E95">
        <v>1.7927324328670453E-4</v>
      </c>
      <c r="F95">
        <f t="shared" si="27"/>
        <v>17.927324328670455</v>
      </c>
      <c r="G95">
        <v>3.858844102088108E-5</v>
      </c>
      <c r="H95">
        <f t="shared" si="28"/>
        <v>3.8588441020881081</v>
      </c>
      <c r="I95">
        <v>1.6017394171050751E-4</v>
      </c>
      <c r="J95">
        <f t="shared" si="29"/>
        <v>16.01739417105075</v>
      </c>
      <c r="L95" s="17">
        <f t="shared" si="34"/>
        <v>32400</v>
      </c>
      <c r="M95">
        <f t="shared" si="30"/>
        <v>9</v>
      </c>
    </row>
    <row r="96" spans="1:21">
      <c r="A96" s="17">
        <f>10*60*60</f>
        <v>36000</v>
      </c>
      <c r="B96">
        <f t="shared" si="25"/>
        <v>10</v>
      </c>
      <c r="C96">
        <v>5.2671595032500409E-5</v>
      </c>
      <c r="D96">
        <f t="shared" si="26"/>
        <v>5.2671595032500411</v>
      </c>
      <c r="E96">
        <v>1.7314242043143927E-4</v>
      </c>
      <c r="F96">
        <f t="shared" si="27"/>
        <v>17.314242043143928</v>
      </c>
      <c r="G96">
        <v>4.359030791559151E-5</v>
      </c>
      <c r="H96">
        <f t="shared" si="28"/>
        <v>4.3590307915591513</v>
      </c>
      <c r="I96">
        <v>1.5668194717455451E-4</v>
      </c>
      <c r="J96">
        <f t="shared" si="29"/>
        <v>15.668194717455451</v>
      </c>
      <c r="L96" s="17">
        <f t="shared" si="34"/>
        <v>36000</v>
      </c>
      <c r="M96">
        <f t="shared" si="30"/>
        <v>10</v>
      </c>
      <c r="N96">
        <v>1.1742018539921249E-4</v>
      </c>
      <c r="O96">
        <f t="shared" si="31"/>
        <v>11.742018539921249</v>
      </c>
      <c r="P96">
        <v>1.613484940446334E-4</v>
      </c>
      <c r="Q96">
        <f t="shared" si="32"/>
        <v>16.134849404463338</v>
      </c>
    </row>
    <row r="97" spans="1:49">
      <c r="A97" s="17">
        <f>11*60*60</f>
        <v>39600</v>
      </c>
      <c r="B97">
        <f t="shared" si="25"/>
        <v>11</v>
      </c>
      <c r="C97">
        <v>5.5053192318763111E-5</v>
      </c>
      <c r="D97">
        <f t="shared" si="26"/>
        <v>5.5053192318763111</v>
      </c>
      <c r="E97">
        <v>1.6679628180675513E-4</v>
      </c>
      <c r="F97">
        <f t="shared" si="27"/>
        <v>16.679628180675515</v>
      </c>
      <c r="G97">
        <v>4.6220280495973821E-5</v>
      </c>
      <c r="H97">
        <f t="shared" si="28"/>
        <v>4.6220280495973824</v>
      </c>
      <c r="I97">
        <v>1.5001694818542538E-4</v>
      </c>
      <c r="J97">
        <f t="shared" si="29"/>
        <v>15.001694818542537</v>
      </c>
      <c r="L97" s="17"/>
    </row>
    <row r="98" spans="1:49">
      <c r="L98" s="17"/>
    </row>
    <row r="100" spans="1:49" ht="18.5">
      <c r="A100" s="1" t="s">
        <v>109</v>
      </c>
      <c r="B100" s="4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2" spans="1:49" ht="15.5">
      <c r="A102" s="45"/>
      <c r="B102" s="45"/>
      <c r="C102" s="46" t="s">
        <v>96</v>
      </c>
      <c r="D102" s="46"/>
      <c r="E102" s="47"/>
      <c r="F102" s="47"/>
      <c r="G102" s="46" t="s">
        <v>97</v>
      </c>
      <c r="H102" s="46"/>
      <c r="I102" s="45"/>
      <c r="J102" s="47"/>
    </row>
    <row r="103" spans="1:49" ht="15.5">
      <c r="A103" s="48" t="s">
        <v>98</v>
      </c>
      <c r="B103" s="48" t="s">
        <v>99</v>
      </c>
      <c r="C103" s="48" t="s">
        <v>100</v>
      </c>
      <c r="D103" s="48" t="s">
        <v>101</v>
      </c>
      <c r="E103" s="48" t="s">
        <v>102</v>
      </c>
      <c r="F103" s="48" t="s">
        <v>103</v>
      </c>
      <c r="G103" s="48" t="s">
        <v>100</v>
      </c>
      <c r="H103" s="48" t="s">
        <v>101</v>
      </c>
      <c r="I103" s="48" t="s">
        <v>102</v>
      </c>
      <c r="J103" s="48" t="s">
        <v>103</v>
      </c>
    </row>
    <row r="104" spans="1:49">
      <c r="A104" s="17">
        <f>30*60</f>
        <v>1800</v>
      </c>
      <c r="B104">
        <f>A104/60/60</f>
        <v>0.5</v>
      </c>
      <c r="C104">
        <v>6.4054120247951802E-6</v>
      </c>
      <c r="D104">
        <f>C104*10^5</f>
        <v>0.64054120247951807</v>
      </c>
      <c r="E104">
        <v>1.1413531145693356E-5</v>
      </c>
      <c r="F104">
        <f>E104*10^5</f>
        <v>1.1413531145693356</v>
      </c>
      <c r="G104">
        <v>9.7955881782974542E-6</v>
      </c>
      <c r="H104">
        <f>G104*10^5</f>
        <v>0.97955881782974541</v>
      </c>
      <c r="I104">
        <v>1.6660697048024748E-5</v>
      </c>
      <c r="J104">
        <f>I104*10^5</f>
        <v>1.6660697048024748</v>
      </c>
    </row>
    <row r="105" spans="1:49">
      <c r="A105" s="17">
        <f>A104+30*60</f>
        <v>3600</v>
      </c>
      <c r="B105">
        <f t="shared" ref="B105:B117" si="35">A105/60/60</f>
        <v>1</v>
      </c>
      <c r="C105">
        <v>1.961067257060455E-5</v>
      </c>
      <c r="D105">
        <f t="shared" ref="D105:D118" si="36">C105*10^5</f>
        <v>1.961067257060455</v>
      </c>
      <c r="E105">
        <v>3.1459647365896151E-5</v>
      </c>
      <c r="F105">
        <f t="shared" ref="F105:F118" si="37">E105*10^5</f>
        <v>3.1459647365896153</v>
      </c>
      <c r="G105">
        <v>2.2930455233051775E-5</v>
      </c>
      <c r="H105">
        <f t="shared" ref="H105:H118" si="38">G105*10^5</f>
        <v>2.2930455233051776</v>
      </c>
      <c r="I105">
        <v>3.6050245637351756E-5</v>
      </c>
      <c r="J105">
        <f t="shared" ref="J105:J118" si="39">I105*10^5</f>
        <v>3.6050245637351757</v>
      </c>
    </row>
    <row r="106" spans="1:49">
      <c r="A106" s="17">
        <f>A105+30*60</f>
        <v>5400</v>
      </c>
      <c r="B106">
        <f t="shared" si="35"/>
        <v>1.5</v>
      </c>
      <c r="C106">
        <v>3.1006588524994127E-5</v>
      </c>
      <c r="D106">
        <f t="shared" si="36"/>
        <v>3.1006588524994125</v>
      </c>
      <c r="E106">
        <v>4.6768788837299094E-5</v>
      </c>
      <c r="F106">
        <f t="shared" si="37"/>
        <v>4.6768788837299091</v>
      </c>
      <c r="G106">
        <v>3.3645384354132269E-5</v>
      </c>
      <c r="H106">
        <f t="shared" si="38"/>
        <v>3.3645384354132268</v>
      </c>
      <c r="I106">
        <v>5.2861450721037622E-5</v>
      </c>
      <c r="J106">
        <f t="shared" si="39"/>
        <v>5.2861450721037624</v>
      </c>
    </row>
    <row r="107" spans="1:49">
      <c r="A107" s="17">
        <f t="shared" ref="A107" si="40">A106+30*60</f>
        <v>7200</v>
      </c>
      <c r="B107">
        <f t="shared" si="35"/>
        <v>2</v>
      </c>
      <c r="C107">
        <v>3.6886427758617954E-5</v>
      </c>
      <c r="D107">
        <f t="shared" si="36"/>
        <v>3.6886427758617955</v>
      </c>
      <c r="E107">
        <v>5.4835657823590683E-5</v>
      </c>
      <c r="F107">
        <f t="shared" si="37"/>
        <v>5.4835657823590687</v>
      </c>
      <c r="G107">
        <v>3.7160768868783138E-5</v>
      </c>
      <c r="H107">
        <f t="shared" si="38"/>
        <v>3.7160768868783136</v>
      </c>
      <c r="I107">
        <v>5.7651865432336703E-5</v>
      </c>
      <c r="J107">
        <f t="shared" si="39"/>
        <v>5.7651865432336704</v>
      </c>
    </row>
    <row r="108" spans="1:49">
      <c r="A108" s="17">
        <f>A107+30*60</f>
        <v>9000</v>
      </c>
      <c r="B108">
        <f t="shared" si="35"/>
        <v>2.5</v>
      </c>
      <c r="C108">
        <v>4.2578374576375049E-5</v>
      </c>
      <c r="D108">
        <f t="shared" si="36"/>
        <v>4.2578374576375051</v>
      </c>
      <c r="E108">
        <v>6.2112464957324789E-5</v>
      </c>
      <c r="F108">
        <f t="shared" si="37"/>
        <v>6.2112464957324791</v>
      </c>
      <c r="G108">
        <v>4.2670289219233283E-5</v>
      </c>
      <c r="H108">
        <f t="shared" si="38"/>
        <v>4.2670289219233286</v>
      </c>
      <c r="I108">
        <v>6.3930093029265409E-5</v>
      </c>
      <c r="J108">
        <f t="shared" si="39"/>
        <v>6.3930093029265409</v>
      </c>
    </row>
    <row r="109" spans="1:49">
      <c r="A109" s="17">
        <f>A108+30*60</f>
        <v>10800</v>
      </c>
      <c r="B109">
        <f t="shared" si="35"/>
        <v>3</v>
      </c>
      <c r="C109">
        <v>4.6495236688589146E-5</v>
      </c>
      <c r="D109">
        <f t="shared" si="36"/>
        <v>4.6495236688589143</v>
      </c>
      <c r="E109">
        <v>6.5510693435322172E-5</v>
      </c>
      <c r="F109">
        <f t="shared" si="37"/>
        <v>6.5510693435322169</v>
      </c>
      <c r="G109">
        <v>4.6667570944387185E-5</v>
      </c>
      <c r="H109">
        <f t="shared" si="38"/>
        <v>4.6667570944387187</v>
      </c>
      <c r="I109">
        <v>6.6744599623335776E-5</v>
      </c>
      <c r="J109">
        <f t="shared" si="39"/>
        <v>6.6744599623335779</v>
      </c>
    </row>
    <row r="110" spans="1:49">
      <c r="A110" s="17">
        <f>A109+60*60</f>
        <v>14400</v>
      </c>
      <c r="B110">
        <f t="shared" si="35"/>
        <v>4</v>
      </c>
      <c r="C110">
        <v>5.277473659323597E-5</v>
      </c>
      <c r="D110">
        <f t="shared" si="36"/>
        <v>5.2774736593235971</v>
      </c>
      <c r="E110">
        <v>7.1562128087723916E-5</v>
      </c>
      <c r="F110">
        <f t="shared" si="37"/>
        <v>7.1562128087723913</v>
      </c>
      <c r="G110">
        <v>5.2068155570714795E-5</v>
      </c>
      <c r="H110">
        <f t="shared" si="38"/>
        <v>5.2068155570714794</v>
      </c>
      <c r="I110">
        <v>7.1165794285477235E-5</v>
      </c>
      <c r="J110">
        <f t="shared" si="39"/>
        <v>7.1165794285477233</v>
      </c>
    </row>
    <row r="111" spans="1:49">
      <c r="A111" s="17">
        <f t="shared" ref="A111:A117" si="41">A110+60*60</f>
        <v>18000</v>
      </c>
      <c r="B111">
        <f t="shared" si="35"/>
        <v>5</v>
      </c>
      <c r="C111">
        <v>5.4965465448957127E-5</v>
      </c>
      <c r="D111">
        <f t="shared" si="36"/>
        <v>5.4965465448957129</v>
      </c>
      <c r="E111">
        <v>7.1763699941324827E-5</v>
      </c>
      <c r="F111">
        <f t="shared" si="37"/>
        <v>7.1763699941324823</v>
      </c>
      <c r="G111">
        <v>5.4226225910561375E-5</v>
      </c>
      <c r="H111">
        <f t="shared" si="38"/>
        <v>5.4226225910561379</v>
      </c>
      <c r="I111">
        <v>7.2347343002686004E-5</v>
      </c>
      <c r="J111">
        <f t="shared" si="39"/>
        <v>7.2347343002686006</v>
      </c>
    </row>
    <row r="112" spans="1:49">
      <c r="A112" s="17">
        <f t="shared" si="41"/>
        <v>21600</v>
      </c>
      <c r="B112">
        <f t="shared" si="35"/>
        <v>6</v>
      </c>
      <c r="C112">
        <v>5.6969014262299786E-5</v>
      </c>
      <c r="D112">
        <f t="shared" si="36"/>
        <v>5.6969014262299789</v>
      </c>
      <c r="E112">
        <v>7.3631779048345637E-5</v>
      </c>
      <c r="F112">
        <f t="shared" si="37"/>
        <v>7.363177904834564</v>
      </c>
      <c r="G112">
        <v>5.7811848602844637E-5</v>
      </c>
      <c r="H112">
        <f t="shared" si="38"/>
        <v>5.7811848602844638</v>
      </c>
      <c r="I112">
        <v>7.483716651857954E-5</v>
      </c>
      <c r="J112">
        <f t="shared" si="39"/>
        <v>7.4837166518579537</v>
      </c>
    </row>
    <row r="113" spans="1:49">
      <c r="A113" s="17">
        <f t="shared" si="41"/>
        <v>25200</v>
      </c>
      <c r="B113">
        <f t="shared" si="35"/>
        <v>7</v>
      </c>
      <c r="C113">
        <v>5.7964247964895378E-5</v>
      </c>
      <c r="D113">
        <f t="shared" si="36"/>
        <v>5.7964247964895375</v>
      </c>
      <c r="E113">
        <v>7.3856890310905449E-5</v>
      </c>
      <c r="F113">
        <f t="shared" si="37"/>
        <v>7.3856890310905445</v>
      </c>
      <c r="G113">
        <v>6.0208107198464993E-5</v>
      </c>
      <c r="H113">
        <f t="shared" si="38"/>
        <v>6.0208107198464988</v>
      </c>
      <c r="I113">
        <v>7.626956387713697E-5</v>
      </c>
      <c r="J113">
        <f t="shared" si="39"/>
        <v>7.6269563877136974</v>
      </c>
    </row>
    <row r="114" spans="1:49">
      <c r="A114" s="17">
        <f t="shared" si="41"/>
        <v>28800</v>
      </c>
      <c r="B114">
        <f t="shared" si="35"/>
        <v>8</v>
      </c>
      <c r="C114">
        <v>6.0097833307104768E-5</v>
      </c>
      <c r="D114">
        <f t="shared" si="36"/>
        <v>6.0097833307104764</v>
      </c>
      <c r="E114">
        <v>7.6008924421477159E-5</v>
      </c>
      <c r="F114">
        <f t="shared" si="37"/>
        <v>7.6008924421477158</v>
      </c>
      <c r="G114">
        <v>6.3531099139719978E-5</v>
      </c>
      <c r="H114">
        <f t="shared" si="38"/>
        <v>6.3531099139719975</v>
      </c>
      <c r="I114">
        <v>7.9339984568839943E-5</v>
      </c>
      <c r="J114">
        <f t="shared" si="39"/>
        <v>7.9339984568839945</v>
      </c>
    </row>
    <row r="115" spans="1:49">
      <c r="A115" s="17">
        <f t="shared" si="41"/>
        <v>32400</v>
      </c>
      <c r="B115">
        <f t="shared" si="35"/>
        <v>9</v>
      </c>
      <c r="C115">
        <v>6.2452913411153372E-5</v>
      </c>
      <c r="D115">
        <f t="shared" si="36"/>
        <v>6.2452913411153377</v>
      </c>
      <c r="E115">
        <v>7.6645187773634853E-5</v>
      </c>
      <c r="F115">
        <f t="shared" si="37"/>
        <v>7.6645187773634849</v>
      </c>
      <c r="G115">
        <v>6.4942679260806716E-5</v>
      </c>
      <c r="H115">
        <f t="shared" si="38"/>
        <v>6.4942679260806715</v>
      </c>
      <c r="I115">
        <v>7.9459116505923045E-5</v>
      </c>
      <c r="J115">
        <f t="shared" si="39"/>
        <v>7.9459116505923042</v>
      </c>
    </row>
    <row r="116" spans="1:49">
      <c r="A116" s="17">
        <f t="shared" si="41"/>
        <v>36000</v>
      </c>
      <c r="B116">
        <f t="shared" si="35"/>
        <v>10</v>
      </c>
      <c r="C116">
        <v>6.5717886808751278E-5</v>
      </c>
      <c r="D116">
        <f t="shared" si="36"/>
        <v>6.5717886808751276</v>
      </c>
      <c r="E116">
        <v>7.9879455171661442E-5</v>
      </c>
      <c r="F116">
        <f t="shared" si="37"/>
        <v>7.9879455171661444</v>
      </c>
      <c r="G116">
        <v>6.6337673979341967E-5</v>
      </c>
      <c r="H116">
        <f t="shared" si="38"/>
        <v>6.6337673979341965</v>
      </c>
      <c r="I116">
        <v>8.1085470921856849E-5</v>
      </c>
      <c r="J116">
        <f t="shared" si="39"/>
        <v>8.1085470921856846</v>
      </c>
    </row>
    <row r="117" spans="1:49">
      <c r="A117" s="17">
        <f t="shared" si="41"/>
        <v>39600</v>
      </c>
      <c r="B117">
        <f t="shared" si="35"/>
        <v>11</v>
      </c>
      <c r="C117">
        <v>7.0146859234607457E-5</v>
      </c>
      <c r="D117">
        <f t="shared" si="36"/>
        <v>7.0146859234607462</v>
      </c>
      <c r="E117">
        <v>8.2623356442757537E-5</v>
      </c>
      <c r="F117">
        <f t="shared" si="37"/>
        <v>8.262335644275753</v>
      </c>
      <c r="G117">
        <v>6.9308201930906357E-5</v>
      </c>
      <c r="H117">
        <f t="shared" si="38"/>
        <v>6.9308201930906357</v>
      </c>
      <c r="I117">
        <v>8.2566983180022688E-5</v>
      </c>
      <c r="J117">
        <f t="shared" si="39"/>
        <v>8.2566983180022682</v>
      </c>
    </row>
    <row r="118" spans="1:49">
      <c r="A118" s="17">
        <f>A117+40*60</f>
        <v>42000</v>
      </c>
      <c r="B118">
        <f>A118/60/60</f>
        <v>11.666666666666666</v>
      </c>
      <c r="C118">
        <v>7.6113672444536802E-5</v>
      </c>
      <c r="D118">
        <f t="shared" si="36"/>
        <v>7.61136724445368</v>
      </c>
      <c r="E118">
        <v>8.5576975693059517E-5</v>
      </c>
      <c r="F118">
        <f t="shared" si="37"/>
        <v>8.5576975693059509</v>
      </c>
      <c r="G118">
        <v>7.3695636752181911E-5</v>
      </c>
      <c r="H118">
        <f t="shared" si="38"/>
        <v>7.369563675218191</v>
      </c>
      <c r="I118">
        <v>8.1949052450469407E-5</v>
      </c>
      <c r="J118">
        <f t="shared" si="39"/>
        <v>8.1949052450469413</v>
      </c>
    </row>
    <row r="121" spans="1:49" ht="18.5">
      <c r="A121" s="1" t="s">
        <v>110</v>
      </c>
      <c r="B121" s="4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3" spans="1:49" ht="15.5">
      <c r="A123" s="45"/>
      <c r="B123" s="45"/>
      <c r="C123" s="46" t="s">
        <v>96</v>
      </c>
      <c r="D123" s="46"/>
      <c r="E123" s="47"/>
      <c r="F123" s="47"/>
      <c r="G123" s="46" t="s">
        <v>97</v>
      </c>
      <c r="H123" s="46"/>
      <c r="I123" s="45"/>
      <c r="J123" s="47"/>
    </row>
    <row r="124" spans="1:49" ht="15.5">
      <c r="A124" s="48" t="s">
        <v>98</v>
      </c>
      <c r="B124" s="48" t="s">
        <v>99</v>
      </c>
      <c r="C124" s="48" t="s">
        <v>100</v>
      </c>
      <c r="D124" s="48" t="s">
        <v>101</v>
      </c>
      <c r="E124" s="48" t="s">
        <v>102</v>
      </c>
      <c r="F124" s="48" t="s">
        <v>103</v>
      </c>
      <c r="G124" s="48" t="s">
        <v>100</v>
      </c>
      <c r="H124" s="48" t="s">
        <v>101</v>
      </c>
      <c r="I124" s="48" t="s">
        <v>102</v>
      </c>
      <c r="J124" s="48" t="s">
        <v>103</v>
      </c>
    </row>
    <row r="125" spans="1:49">
      <c r="A125" s="17">
        <f>30*60</f>
        <v>1800</v>
      </c>
      <c r="B125">
        <f>A125/60/60</f>
        <v>0.5</v>
      </c>
      <c r="C125">
        <v>1.312436938697899E-5</v>
      </c>
      <c r="D125">
        <f>C125*10^5</f>
        <v>1.3124369386978991</v>
      </c>
      <c r="E125">
        <v>1.9036166670655784E-5</v>
      </c>
      <c r="F125">
        <f>E125*10^5</f>
        <v>1.9036166670655785</v>
      </c>
      <c r="G125">
        <v>8.7952085902546402E-6</v>
      </c>
      <c r="H125">
        <f>G125*10^5</f>
        <v>0.87952085902546406</v>
      </c>
      <c r="I125">
        <v>1.526277896961181E-5</v>
      </c>
      <c r="J125">
        <f>I125*10^5</f>
        <v>1.526277896961181</v>
      </c>
    </row>
    <row r="126" spans="1:49">
      <c r="A126" s="17">
        <f>A125+30*60</f>
        <v>3600</v>
      </c>
      <c r="B126">
        <f t="shared" ref="B126:B138" si="42">A126/60/60</f>
        <v>1</v>
      </c>
      <c r="C126">
        <v>1.9473179287083804E-5</v>
      </c>
      <c r="D126">
        <f t="shared" ref="D126:D139" si="43">C126*10^5</f>
        <v>1.9473179287083804</v>
      </c>
      <c r="E126">
        <v>2.6696765195642482E-5</v>
      </c>
      <c r="F126">
        <f t="shared" ref="F126:F139" si="44">E126*10^5</f>
        <v>2.669676519564248</v>
      </c>
      <c r="G126">
        <v>1.1323604190818297E-5</v>
      </c>
      <c r="H126">
        <f t="shared" ref="H126:H139" si="45">G126*10^5</f>
        <v>1.1323604190818297</v>
      </c>
      <c r="I126">
        <v>2.0140035677586801E-5</v>
      </c>
      <c r="J126">
        <f t="shared" ref="J126:J139" si="46">I126*10^5</f>
        <v>2.0140035677586803</v>
      </c>
    </row>
    <row r="127" spans="1:49">
      <c r="A127" s="17">
        <f t="shared" ref="A127:A129" si="47">A126+30*60</f>
        <v>5400</v>
      </c>
      <c r="B127">
        <f t="shared" si="42"/>
        <v>1.5</v>
      </c>
      <c r="C127">
        <v>2.3894900514306229E-5</v>
      </c>
      <c r="D127">
        <f t="shared" si="43"/>
        <v>2.3894900514306228</v>
      </c>
      <c r="E127">
        <v>3.4215346581795107E-5</v>
      </c>
      <c r="F127">
        <f t="shared" si="44"/>
        <v>3.4215346581795107</v>
      </c>
      <c r="G127">
        <v>1.3907787293870577E-5</v>
      </c>
      <c r="H127">
        <f t="shared" si="45"/>
        <v>1.3907787293870577</v>
      </c>
      <c r="I127">
        <v>2.5762586105494851E-5</v>
      </c>
      <c r="J127">
        <f t="shared" si="46"/>
        <v>2.5762586105494854</v>
      </c>
    </row>
    <row r="128" spans="1:49">
      <c r="A128" s="17">
        <f t="shared" si="47"/>
        <v>7200</v>
      </c>
      <c r="B128">
        <f t="shared" si="42"/>
        <v>2</v>
      </c>
      <c r="C128">
        <v>2.9638862833809595E-5</v>
      </c>
      <c r="D128">
        <f t="shared" si="43"/>
        <v>2.9638862833809596</v>
      </c>
      <c r="E128">
        <v>3.9705545325049745E-5</v>
      </c>
      <c r="F128">
        <f t="shared" si="44"/>
        <v>3.9705545325049747</v>
      </c>
      <c r="G128">
        <v>1.7795734546246509E-5</v>
      </c>
      <c r="H128">
        <f t="shared" si="45"/>
        <v>1.7795734546246509</v>
      </c>
      <c r="I128">
        <v>2.9444101749237855E-5</v>
      </c>
      <c r="J128">
        <f t="shared" si="46"/>
        <v>2.9444101749237857</v>
      </c>
    </row>
    <row r="129" spans="1:49">
      <c r="A129" s="17">
        <f t="shared" si="47"/>
        <v>9000</v>
      </c>
      <c r="B129">
        <f t="shared" si="42"/>
        <v>2.5</v>
      </c>
      <c r="C129">
        <v>3.1663522868477246E-5</v>
      </c>
      <c r="D129">
        <f t="shared" si="43"/>
        <v>3.1663522868477245</v>
      </c>
      <c r="E129">
        <v>4.4286236530486552E-5</v>
      </c>
      <c r="F129">
        <f t="shared" si="44"/>
        <v>4.4286236530486551</v>
      </c>
      <c r="G129">
        <v>1.7855757550623154E-5</v>
      </c>
      <c r="H129">
        <f t="shared" si="45"/>
        <v>1.7855757550623155</v>
      </c>
      <c r="I129">
        <v>3.1485219365403671E-5</v>
      </c>
      <c r="J129">
        <f t="shared" si="46"/>
        <v>3.1485219365403672</v>
      </c>
    </row>
    <row r="130" spans="1:49">
      <c r="A130" s="17">
        <f>A129+30*60+60</f>
        <v>10860</v>
      </c>
      <c r="B130">
        <f t="shared" si="42"/>
        <v>3.0166666666666666</v>
      </c>
      <c r="C130">
        <v>3.559191092063978E-5</v>
      </c>
      <c r="D130">
        <f t="shared" si="43"/>
        <v>3.559191092063978</v>
      </c>
      <c r="E130">
        <v>4.7428177852605799E-5</v>
      </c>
      <c r="F130">
        <f t="shared" si="44"/>
        <v>4.7428177852605797</v>
      </c>
      <c r="G130">
        <v>1.9225875222938719E-5</v>
      </c>
      <c r="H130">
        <f t="shared" si="45"/>
        <v>1.922587522293872</v>
      </c>
      <c r="I130">
        <v>3.2273717153718288E-5</v>
      </c>
      <c r="J130">
        <f t="shared" si="46"/>
        <v>3.2273717153718287</v>
      </c>
    </row>
    <row r="131" spans="1:49">
      <c r="A131" s="17">
        <f>A130+60*60</f>
        <v>14460</v>
      </c>
      <c r="B131">
        <f t="shared" si="42"/>
        <v>4.0166666666666666</v>
      </c>
      <c r="C131">
        <v>3.7907193347867008E-5</v>
      </c>
      <c r="D131">
        <f t="shared" si="43"/>
        <v>3.7907193347867008</v>
      </c>
      <c r="E131">
        <v>5.1931340251173422E-5</v>
      </c>
      <c r="F131">
        <f t="shared" si="44"/>
        <v>5.1931340251173426</v>
      </c>
      <c r="G131">
        <v>1.9571005774122818E-5</v>
      </c>
      <c r="H131">
        <f t="shared" si="45"/>
        <v>1.9571005774122818</v>
      </c>
      <c r="I131">
        <v>3.3944217129898119E-5</v>
      </c>
      <c r="J131">
        <f t="shared" si="46"/>
        <v>3.394421712989812</v>
      </c>
    </row>
    <row r="132" spans="1:49">
      <c r="A132" s="17">
        <f>5*60*60</f>
        <v>18000</v>
      </c>
      <c r="B132">
        <f t="shared" si="42"/>
        <v>5</v>
      </c>
      <c r="C132">
        <v>4.007697402179438E-5</v>
      </c>
      <c r="D132">
        <f t="shared" si="43"/>
        <v>4.0076974021794376</v>
      </c>
      <c r="E132">
        <v>5.2744785752171392E-5</v>
      </c>
      <c r="F132">
        <f t="shared" si="44"/>
        <v>5.274478575217139</v>
      </c>
      <c r="G132">
        <v>2.0885820543853493E-5</v>
      </c>
      <c r="H132">
        <f t="shared" si="45"/>
        <v>2.0885820543853493</v>
      </c>
      <c r="I132">
        <v>3.3868713888775814E-5</v>
      </c>
      <c r="J132">
        <f t="shared" si="46"/>
        <v>3.3868713888775814</v>
      </c>
    </row>
    <row r="133" spans="1:49">
      <c r="A133" s="17">
        <f>A132+60*60+60</f>
        <v>21660</v>
      </c>
      <c r="B133">
        <f t="shared" si="42"/>
        <v>6.0166666666666666</v>
      </c>
      <c r="C133">
        <v>3.9534676476833613E-5</v>
      </c>
      <c r="D133">
        <f t="shared" si="43"/>
        <v>3.9534676476833615</v>
      </c>
      <c r="E133">
        <v>5.3984142944685565E-5</v>
      </c>
      <c r="F133">
        <f t="shared" si="44"/>
        <v>5.3984142944685569</v>
      </c>
      <c r="G133">
        <v>2.0960218078521701E-5</v>
      </c>
      <c r="H133">
        <f t="shared" si="45"/>
        <v>2.09602180785217</v>
      </c>
      <c r="I133">
        <v>3.4591209574030921E-5</v>
      </c>
      <c r="J133">
        <f t="shared" si="46"/>
        <v>3.4591209574030923</v>
      </c>
    </row>
    <row r="134" spans="1:49">
      <c r="A134" s="17">
        <f>A133+60*60+60</f>
        <v>25320</v>
      </c>
      <c r="B134">
        <f t="shared" si="42"/>
        <v>7.0333333333333332</v>
      </c>
      <c r="C134">
        <v>4.1194649402895864E-5</v>
      </c>
      <c r="D134">
        <f t="shared" si="43"/>
        <v>4.1194649402895864</v>
      </c>
      <c r="E134">
        <v>5.3768697765545963E-5</v>
      </c>
      <c r="F134">
        <f t="shared" si="44"/>
        <v>5.3768697765545959</v>
      </c>
      <c r="G134">
        <v>2.2416743657753985E-5</v>
      </c>
      <c r="H134">
        <f t="shared" si="45"/>
        <v>2.2416743657753986</v>
      </c>
      <c r="I134">
        <v>3.4353556574222001E-5</v>
      </c>
      <c r="J134">
        <f t="shared" si="46"/>
        <v>3.4353556574222002</v>
      </c>
    </row>
    <row r="135" spans="1:49">
      <c r="A135" s="17">
        <f>A134+58*60</f>
        <v>28800</v>
      </c>
      <c r="B135">
        <f t="shared" si="42"/>
        <v>8</v>
      </c>
      <c r="C135">
        <v>4.0924133765803166E-5</v>
      </c>
      <c r="D135">
        <f t="shared" si="43"/>
        <v>4.0924133765803168</v>
      </c>
      <c r="E135">
        <v>5.399374512627177E-5</v>
      </c>
      <c r="F135">
        <f t="shared" si="44"/>
        <v>5.399374512627177</v>
      </c>
      <c r="G135">
        <v>2.6424707782136858E-5</v>
      </c>
      <c r="H135">
        <f t="shared" si="45"/>
        <v>2.6424707782136858</v>
      </c>
      <c r="I135">
        <v>3.7533227313994696E-5</v>
      </c>
      <c r="J135">
        <f t="shared" si="46"/>
        <v>3.7533227313994697</v>
      </c>
    </row>
    <row r="136" spans="1:49">
      <c r="A136" s="17">
        <f>A135+60*60</f>
        <v>32400</v>
      </c>
      <c r="B136">
        <f t="shared" si="42"/>
        <v>9</v>
      </c>
      <c r="C136">
        <v>4.2728879703860784E-5</v>
      </c>
      <c r="D136">
        <f t="shared" si="43"/>
        <v>4.272887970386078</v>
      </c>
      <c r="E136">
        <v>5.3064296604264274E-5</v>
      </c>
      <c r="F136">
        <f t="shared" si="44"/>
        <v>5.3064296604264269</v>
      </c>
      <c r="G136">
        <v>2.8370977885564236E-5</v>
      </c>
      <c r="H136">
        <f t="shared" si="45"/>
        <v>2.8370977885564237</v>
      </c>
      <c r="I136">
        <v>3.759686568575739E-5</v>
      </c>
      <c r="J136">
        <f t="shared" si="46"/>
        <v>3.7596865685757388</v>
      </c>
    </row>
    <row r="137" spans="1:49">
      <c r="A137" s="17">
        <f>A136+60*60</f>
        <v>36000</v>
      </c>
      <c r="B137">
        <f t="shared" si="42"/>
        <v>10</v>
      </c>
      <c r="C137">
        <v>4.2528264767441509E-5</v>
      </c>
      <c r="D137">
        <f t="shared" si="43"/>
        <v>4.2528264767441506</v>
      </c>
      <c r="E137">
        <v>5.3379548818927863E-5</v>
      </c>
      <c r="F137">
        <f t="shared" si="44"/>
        <v>5.3379548818927862</v>
      </c>
      <c r="G137">
        <v>2.8207224877532949E-5</v>
      </c>
      <c r="H137">
        <f t="shared" si="45"/>
        <v>2.820722487753295</v>
      </c>
      <c r="I137">
        <v>3.7139171841412131E-5</v>
      </c>
      <c r="J137">
        <f t="shared" si="46"/>
        <v>3.7139171841412129</v>
      </c>
    </row>
    <row r="138" spans="1:49">
      <c r="A138" s="17">
        <f>A137+60*60+60</f>
        <v>39660</v>
      </c>
      <c r="B138">
        <f t="shared" si="42"/>
        <v>11.016666666666667</v>
      </c>
      <c r="C138">
        <v>4.3801636324289853E-5</v>
      </c>
      <c r="D138">
        <f t="shared" si="43"/>
        <v>4.3801636324289852</v>
      </c>
      <c r="E138">
        <v>5.2660316409483833E-5</v>
      </c>
      <c r="F138">
        <f t="shared" si="44"/>
        <v>5.2660316409483832</v>
      </c>
      <c r="G138">
        <v>2.8555462677257472E-5</v>
      </c>
      <c r="H138">
        <f t="shared" si="45"/>
        <v>2.8555462677257473</v>
      </c>
      <c r="I138">
        <v>3.6121498384228278E-5</v>
      </c>
      <c r="J138">
        <f t="shared" si="46"/>
        <v>3.6121498384228277</v>
      </c>
    </row>
    <row r="139" spans="1:49">
      <c r="A139" s="17">
        <f>A138+57*60</f>
        <v>43080</v>
      </c>
      <c r="B139">
        <f>A139/60/60</f>
        <v>11.966666666666667</v>
      </c>
      <c r="C139">
        <v>4.3371182493111357E-5</v>
      </c>
      <c r="D139">
        <f t="shared" si="43"/>
        <v>4.3371182493111355</v>
      </c>
      <c r="E139">
        <v>5.2499063689759833E-5</v>
      </c>
      <c r="F139">
        <f t="shared" si="44"/>
        <v>5.2499063689759833</v>
      </c>
      <c r="G139">
        <v>2.806372196656203E-5</v>
      </c>
      <c r="H139">
        <f t="shared" si="45"/>
        <v>2.806372196656203</v>
      </c>
      <c r="I139">
        <v>3.565073650946538E-5</v>
      </c>
      <c r="J139">
        <f t="shared" si="46"/>
        <v>3.5650736509465379</v>
      </c>
    </row>
    <row r="142" spans="1:49" ht="18.5">
      <c r="A142" s="1" t="s">
        <v>111</v>
      </c>
      <c r="B142" s="4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4" spans="1:49" ht="15.5">
      <c r="A144" s="45"/>
      <c r="B144" s="45"/>
      <c r="C144" s="46" t="s">
        <v>96</v>
      </c>
      <c r="D144" s="46"/>
      <c r="E144" s="47"/>
      <c r="F144" s="47"/>
      <c r="G144" s="46" t="s">
        <v>97</v>
      </c>
      <c r="H144" s="46"/>
      <c r="I144" s="45"/>
      <c r="J144" s="47"/>
    </row>
    <row r="145" spans="1:21" ht="15.5">
      <c r="A145" s="48" t="s">
        <v>98</v>
      </c>
      <c r="B145" s="48" t="s">
        <v>99</v>
      </c>
      <c r="C145" s="48" t="s">
        <v>100</v>
      </c>
      <c r="D145" s="48" t="s">
        <v>101</v>
      </c>
      <c r="E145" s="48" t="s">
        <v>102</v>
      </c>
      <c r="F145" s="48" t="s">
        <v>103</v>
      </c>
      <c r="G145" s="48" t="s">
        <v>100</v>
      </c>
      <c r="H145" s="48" t="s">
        <v>101</v>
      </c>
      <c r="I145" s="48" t="s">
        <v>102</v>
      </c>
      <c r="J145" s="48" t="s">
        <v>103</v>
      </c>
    </row>
    <row r="146" spans="1:21">
      <c r="A146" s="17">
        <f>30*60</f>
        <v>1800</v>
      </c>
      <c r="B146">
        <f>A146/60/60</f>
        <v>0.5</v>
      </c>
      <c r="C146">
        <v>1.812488870819103E-5</v>
      </c>
      <c r="D146">
        <f>C146*10^5</f>
        <v>1.8124888708191031</v>
      </c>
      <c r="E146">
        <v>2.0468030214192914E-5</v>
      </c>
      <c r="F146">
        <f>E146*10^5</f>
        <v>2.0468030214192914</v>
      </c>
      <c r="G146">
        <v>2.0563547141215113E-5</v>
      </c>
      <c r="H146">
        <f>G146*10^5</f>
        <v>2.0563547141215115</v>
      </c>
      <c r="I146">
        <v>2.2859174157654311E-5</v>
      </c>
      <c r="J146">
        <f>I146*10^5</f>
        <v>2.2859174157654309</v>
      </c>
    </row>
    <row r="147" spans="1:21">
      <c r="A147" s="17">
        <f>A146+30*60</f>
        <v>3600</v>
      </c>
      <c r="B147">
        <f t="shared" ref="B147:B159" si="48">A147/60/60</f>
        <v>1</v>
      </c>
      <c r="C147">
        <v>4.4908324164642094E-5</v>
      </c>
      <c r="D147">
        <f t="shared" ref="D147:D160" si="49">C147*10^5</f>
        <v>4.4908324164642091</v>
      </c>
      <c r="E147">
        <v>4.7409775333201849E-5</v>
      </c>
      <c r="F147">
        <f t="shared" ref="F147:F160" si="50">E147*10^5</f>
        <v>4.7409775333201853</v>
      </c>
      <c r="G147">
        <v>4.6477484657855897E-5</v>
      </c>
      <c r="H147">
        <f t="shared" ref="H147:H160" si="51">G147*10^5</f>
        <v>4.6477484657855896</v>
      </c>
      <c r="I147">
        <v>4.8879707242280938E-5</v>
      </c>
      <c r="J147">
        <f t="shared" ref="J147:J160" si="52">I147*10^5</f>
        <v>4.8879707242280936</v>
      </c>
    </row>
    <row r="148" spans="1:21">
      <c r="A148" s="17">
        <f t="shared" ref="A148:A151" si="53">A147+30*60</f>
        <v>5400</v>
      </c>
      <c r="B148">
        <f t="shared" si="48"/>
        <v>1.5</v>
      </c>
      <c r="C148">
        <v>6.6875282680162711E-5</v>
      </c>
      <c r="D148">
        <f t="shared" si="49"/>
        <v>6.6875282680162709</v>
      </c>
      <c r="E148">
        <v>6.9499728743838704E-5</v>
      </c>
      <c r="F148">
        <f t="shared" si="50"/>
        <v>6.94997287438387</v>
      </c>
      <c r="G148">
        <v>6.9535299245458224E-5</v>
      </c>
      <c r="H148">
        <f t="shared" si="51"/>
        <v>6.9535299245458226</v>
      </c>
      <c r="I148">
        <v>7.1911283201504873E-5</v>
      </c>
      <c r="J148">
        <f t="shared" si="52"/>
        <v>7.1911283201504874</v>
      </c>
    </row>
    <row r="149" spans="1:21">
      <c r="A149" s="17">
        <f t="shared" si="53"/>
        <v>7200</v>
      </c>
      <c r="B149">
        <f t="shared" si="48"/>
        <v>2</v>
      </c>
      <c r="C149">
        <v>8.143206972851329E-5</v>
      </c>
      <c r="D149">
        <f t="shared" si="49"/>
        <v>8.1432069728513294</v>
      </c>
      <c r="E149">
        <v>8.3891818406051059E-5</v>
      </c>
      <c r="F149">
        <f t="shared" si="50"/>
        <v>8.3891818406051062</v>
      </c>
      <c r="G149">
        <v>8.5143693420735038E-5</v>
      </c>
      <c r="H149">
        <f t="shared" si="51"/>
        <v>8.514369342073504</v>
      </c>
      <c r="I149">
        <v>8.7313134407749425E-5</v>
      </c>
      <c r="J149">
        <f t="shared" si="52"/>
        <v>8.731313440774942</v>
      </c>
    </row>
    <row r="150" spans="1:21">
      <c r="A150" s="17">
        <f t="shared" si="53"/>
        <v>9000</v>
      </c>
      <c r="B150">
        <f t="shared" si="48"/>
        <v>2.5</v>
      </c>
      <c r="C150">
        <v>9.3580828628419632E-5</v>
      </c>
      <c r="D150">
        <f t="shared" si="49"/>
        <v>9.3580828628419628</v>
      </c>
      <c r="E150">
        <v>9.6347171235127793E-5</v>
      </c>
      <c r="F150">
        <f t="shared" si="50"/>
        <v>9.6347171235127789</v>
      </c>
      <c r="G150">
        <v>9.9144426305770861E-5</v>
      </c>
      <c r="H150">
        <f t="shared" si="51"/>
        <v>9.9144426305770867</v>
      </c>
      <c r="I150">
        <v>1.0181546874866473E-4</v>
      </c>
      <c r="J150">
        <f t="shared" si="52"/>
        <v>10.181546874866473</v>
      </c>
    </row>
    <row r="151" spans="1:21">
      <c r="A151" s="17">
        <f t="shared" si="53"/>
        <v>10800</v>
      </c>
      <c r="B151">
        <f t="shared" si="48"/>
        <v>3</v>
      </c>
      <c r="C151">
        <v>1.0265518526525867E-4</v>
      </c>
      <c r="D151">
        <f t="shared" si="49"/>
        <v>10.265518526525867</v>
      </c>
      <c r="E151">
        <v>1.0504795180727542E-4</v>
      </c>
      <c r="F151">
        <f t="shared" si="50"/>
        <v>10.504795180727543</v>
      </c>
      <c r="G151">
        <v>1.1002887515604455E-4</v>
      </c>
      <c r="H151">
        <f t="shared" si="51"/>
        <v>11.002887515604456</v>
      </c>
      <c r="I151">
        <v>1.1220542139158067E-4</v>
      </c>
      <c r="J151">
        <f t="shared" si="52"/>
        <v>11.220542139158068</v>
      </c>
      <c r="U151" t="s">
        <v>112</v>
      </c>
    </row>
    <row r="152" spans="1:21">
      <c r="A152" s="17">
        <f>A151+60*60</f>
        <v>14400</v>
      </c>
      <c r="B152">
        <f t="shared" si="48"/>
        <v>4</v>
      </c>
      <c r="C152">
        <v>1.2036536576202011E-4</v>
      </c>
      <c r="D152">
        <f t="shared" si="49"/>
        <v>12.03653657620201</v>
      </c>
      <c r="E152">
        <v>1.2255882772592097E-4</v>
      </c>
      <c r="F152">
        <f t="shared" si="50"/>
        <v>12.255882772592097</v>
      </c>
      <c r="G152">
        <v>1.2747730339710732E-4</v>
      </c>
      <c r="H152">
        <f t="shared" si="51"/>
        <v>12.747730339710733</v>
      </c>
      <c r="I152">
        <v>1.2946634988291174E-4</v>
      </c>
      <c r="J152">
        <f t="shared" si="52"/>
        <v>12.946634988291175</v>
      </c>
    </row>
    <row r="153" spans="1:21">
      <c r="A153" s="17">
        <f t="shared" ref="A153:A159" si="54">A152+60*60</f>
        <v>18000</v>
      </c>
      <c r="B153">
        <f t="shared" si="48"/>
        <v>5</v>
      </c>
      <c r="C153">
        <v>1.4270367423945178E-4</v>
      </c>
      <c r="D153">
        <f t="shared" si="49"/>
        <v>14.270367423945178</v>
      </c>
      <c r="E153">
        <v>1.446695915104508E-4</v>
      </c>
      <c r="F153">
        <f t="shared" si="50"/>
        <v>14.46695915104508</v>
      </c>
      <c r="G153">
        <v>1.3117636335755842E-4</v>
      </c>
      <c r="H153">
        <f t="shared" si="51"/>
        <v>13.117636335755842</v>
      </c>
      <c r="I153">
        <v>1.3396486555783952E-4</v>
      </c>
      <c r="J153">
        <f t="shared" si="52"/>
        <v>13.396486555783952</v>
      </c>
    </row>
    <row r="154" spans="1:21">
      <c r="A154" s="17">
        <f t="shared" si="54"/>
        <v>21600</v>
      </c>
      <c r="B154">
        <f t="shared" si="48"/>
        <v>6</v>
      </c>
      <c r="C154">
        <v>1.4417698544087989E-4</v>
      </c>
      <c r="D154">
        <f t="shared" si="49"/>
        <v>14.41769854408799</v>
      </c>
      <c r="E154">
        <v>1.4591645980027631E-4</v>
      </c>
      <c r="F154">
        <f t="shared" si="50"/>
        <v>14.59164598002763</v>
      </c>
      <c r="G154">
        <v>1.5828101166395265E-4</v>
      </c>
      <c r="H154">
        <f t="shared" si="51"/>
        <v>15.828101166395266</v>
      </c>
      <c r="I154">
        <v>1.5997256446036132E-4</v>
      </c>
      <c r="J154">
        <f t="shared" si="52"/>
        <v>15.997256446036133</v>
      </c>
    </row>
    <row r="155" spans="1:21">
      <c r="A155" s="17">
        <f t="shared" si="54"/>
        <v>25200</v>
      </c>
      <c r="B155">
        <f t="shared" si="48"/>
        <v>7</v>
      </c>
      <c r="C155">
        <v>1.4520725949109835E-4</v>
      </c>
      <c r="D155">
        <f t="shared" si="49"/>
        <v>14.520725949109835</v>
      </c>
      <c r="E155">
        <v>1.5506747987536492E-4</v>
      </c>
      <c r="F155">
        <f t="shared" si="50"/>
        <v>15.506747987536492</v>
      </c>
      <c r="G155">
        <v>1.5829009936700389E-4</v>
      </c>
      <c r="H155">
        <f t="shared" si="51"/>
        <v>15.829009936700389</v>
      </c>
      <c r="I155">
        <v>1.6809745073730929E-4</v>
      </c>
      <c r="J155">
        <f t="shared" si="52"/>
        <v>16.80974507373093</v>
      </c>
    </row>
    <row r="156" spans="1:21">
      <c r="A156" s="17">
        <f t="shared" si="54"/>
        <v>28800</v>
      </c>
      <c r="B156">
        <f t="shared" si="48"/>
        <v>8</v>
      </c>
      <c r="C156">
        <v>1.543934681552982E-4</v>
      </c>
      <c r="D156">
        <f t="shared" si="49"/>
        <v>15.43934681552982</v>
      </c>
      <c r="E156">
        <v>1.6434077246159346E-4</v>
      </c>
      <c r="F156">
        <f t="shared" si="50"/>
        <v>16.434077246159347</v>
      </c>
      <c r="G156">
        <v>1.7042537130913948E-4</v>
      </c>
      <c r="H156">
        <f t="shared" si="51"/>
        <v>17.042537130913949</v>
      </c>
      <c r="I156">
        <v>1.798591428691261E-4</v>
      </c>
      <c r="J156">
        <f t="shared" si="52"/>
        <v>17.98591428691261</v>
      </c>
    </row>
    <row r="157" spans="1:21">
      <c r="A157" s="17">
        <f t="shared" si="54"/>
        <v>32400</v>
      </c>
      <c r="B157">
        <f t="shared" si="48"/>
        <v>9</v>
      </c>
      <c r="C157">
        <v>1.5977769305800324E-4</v>
      </c>
      <c r="D157">
        <f t="shared" si="49"/>
        <v>15.977769305800324</v>
      </c>
      <c r="E157">
        <v>1.6898055803052188E-4</v>
      </c>
      <c r="F157">
        <f t="shared" si="50"/>
        <v>16.898055803052188</v>
      </c>
      <c r="G157">
        <v>1.7751204469872422E-4</v>
      </c>
      <c r="H157">
        <f t="shared" si="51"/>
        <v>17.751204469872423</v>
      </c>
      <c r="I157">
        <v>1.8665712470408876E-4</v>
      </c>
      <c r="J157">
        <f t="shared" si="52"/>
        <v>18.665712470408877</v>
      </c>
    </row>
    <row r="158" spans="1:21">
      <c r="A158" s="17">
        <f t="shared" si="54"/>
        <v>36000</v>
      </c>
      <c r="B158">
        <f t="shared" si="48"/>
        <v>10</v>
      </c>
      <c r="C158">
        <v>1.6488980035233894E-4</v>
      </c>
      <c r="D158">
        <f t="shared" si="49"/>
        <v>16.488980035233894</v>
      </c>
      <c r="E158">
        <v>1.7440782389522934E-4</v>
      </c>
      <c r="F158">
        <f t="shared" si="50"/>
        <v>17.440782389522933</v>
      </c>
      <c r="G158">
        <v>1.8564874731614393E-4</v>
      </c>
      <c r="H158">
        <f t="shared" si="51"/>
        <v>18.564874731614392</v>
      </c>
      <c r="I158">
        <v>1.9539405230612256E-4</v>
      </c>
      <c r="J158">
        <f t="shared" si="52"/>
        <v>19.539405230612257</v>
      </c>
    </row>
    <row r="159" spans="1:21">
      <c r="A159" s="17">
        <f t="shared" si="54"/>
        <v>39600</v>
      </c>
      <c r="B159">
        <f t="shared" si="48"/>
        <v>11</v>
      </c>
      <c r="C159">
        <v>1.6975392388663576E-4</v>
      </c>
      <c r="D159">
        <f t="shared" si="49"/>
        <v>16.975392388663575</v>
      </c>
      <c r="E159">
        <v>1.7865983451380619E-4</v>
      </c>
      <c r="F159">
        <f t="shared" si="50"/>
        <v>17.865983451380618</v>
      </c>
      <c r="G159">
        <v>2.2298661222387026E-4</v>
      </c>
      <c r="H159">
        <f t="shared" si="51"/>
        <v>22.298661222387025</v>
      </c>
      <c r="I159">
        <v>2.3271743974630042E-4</v>
      </c>
      <c r="J159">
        <f t="shared" si="52"/>
        <v>23.271743974630041</v>
      </c>
    </row>
    <row r="160" spans="1:21">
      <c r="A160" s="17">
        <f>A159+60*60-9*60</f>
        <v>42660</v>
      </c>
      <c r="B160">
        <f>A160/60/60</f>
        <v>11.85</v>
      </c>
      <c r="C160">
        <v>1.8095057623605866E-4</v>
      </c>
      <c r="D160">
        <f t="shared" si="49"/>
        <v>18.095057623605864</v>
      </c>
      <c r="E160">
        <v>1.8685849038885697E-4</v>
      </c>
      <c r="F160">
        <f t="shared" si="50"/>
        <v>18.685849038885696</v>
      </c>
      <c r="G160">
        <v>2.0562781959094177E-4</v>
      </c>
      <c r="H160">
        <f t="shared" si="51"/>
        <v>20.562781959094178</v>
      </c>
      <c r="I160">
        <v>2.1050439585833472E-4</v>
      </c>
      <c r="J160">
        <f t="shared" si="52"/>
        <v>21.050439585833473</v>
      </c>
    </row>
    <row r="163" spans="1:49" ht="18.5">
      <c r="A163" s="1" t="s">
        <v>113</v>
      </c>
      <c r="B163" s="4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5" spans="1:49" ht="15.5">
      <c r="A165" s="45"/>
      <c r="B165" s="45"/>
      <c r="C165" s="46" t="s">
        <v>96</v>
      </c>
      <c r="D165" s="46"/>
      <c r="E165" s="47"/>
      <c r="F165" s="47"/>
      <c r="G165" s="46" t="s">
        <v>97</v>
      </c>
      <c r="H165" s="46"/>
      <c r="I165" s="45"/>
      <c r="J165" s="47"/>
    </row>
    <row r="166" spans="1:49" ht="15.5">
      <c r="A166" s="48" t="s">
        <v>98</v>
      </c>
      <c r="B166" s="48" t="s">
        <v>99</v>
      </c>
      <c r="C166" s="48" t="s">
        <v>100</v>
      </c>
      <c r="D166" s="48" t="s">
        <v>101</v>
      </c>
      <c r="E166" s="48" t="s">
        <v>102</v>
      </c>
      <c r="F166" s="48" t="s">
        <v>103</v>
      </c>
      <c r="G166" s="48" t="s">
        <v>100</v>
      </c>
      <c r="H166" s="48" t="s">
        <v>101</v>
      </c>
      <c r="I166" s="48" t="s">
        <v>102</v>
      </c>
      <c r="J166" s="48" t="s">
        <v>103</v>
      </c>
    </row>
    <row r="167" spans="1:49">
      <c r="A167" s="17">
        <f>30*60</f>
        <v>1800</v>
      </c>
      <c r="B167">
        <f>A167/60/60</f>
        <v>0.5</v>
      </c>
      <c r="C167">
        <v>1.919756490295729E-6</v>
      </c>
      <c r="D167">
        <f>C167*10^5</f>
        <v>0.1919756490295729</v>
      </c>
      <c r="E167">
        <v>3.5530718394531083E-6</v>
      </c>
      <c r="F167">
        <f>E167*10^5</f>
        <v>0.35530718394531086</v>
      </c>
      <c r="G167">
        <v>1.955329018646122E-6</v>
      </c>
      <c r="H167">
        <f>G167*10^5</f>
        <v>0.1955329018646122</v>
      </c>
      <c r="I167">
        <v>4.578371169579495E-6</v>
      </c>
      <c r="J167">
        <f>I167*10^5</f>
        <v>0.45783711695794949</v>
      </c>
    </row>
    <row r="168" spans="1:49">
      <c r="A168" s="17">
        <f>A167+30*60</f>
        <v>3600</v>
      </c>
      <c r="B168">
        <f t="shared" ref="B168:B180" si="55">A168/60/60</f>
        <v>1</v>
      </c>
      <c r="C168">
        <v>5.5546995494571448E-6</v>
      </c>
      <c r="D168">
        <f t="shared" ref="D168:D181" si="56">C168*10^5</f>
        <v>0.55546995494571449</v>
      </c>
      <c r="E168">
        <v>7.6020904832617915E-6</v>
      </c>
      <c r="F168">
        <f t="shared" ref="F168:F181" si="57">E168*10^5</f>
        <v>0.76020904832617919</v>
      </c>
      <c r="G168">
        <v>6.5188322122062158E-6</v>
      </c>
      <c r="H168">
        <f t="shared" ref="H168:H181" si="58">G168*10^5</f>
        <v>0.65188322122062159</v>
      </c>
      <c r="I168">
        <v>8.7751639007124244E-6</v>
      </c>
      <c r="J168">
        <f t="shared" ref="J168:J181" si="59">I168*10^5</f>
        <v>0.87751639007124249</v>
      </c>
    </row>
    <row r="169" spans="1:49">
      <c r="A169" s="17">
        <f t="shared" ref="A169:A172" si="60">A168+30*60</f>
        <v>5400</v>
      </c>
      <c r="B169">
        <f t="shared" si="55"/>
        <v>1.5</v>
      </c>
      <c r="C169">
        <v>1.0409768402430384E-5</v>
      </c>
      <c r="D169">
        <f t="shared" si="56"/>
        <v>1.0409768402430384</v>
      </c>
      <c r="E169">
        <v>1.2695049650523316E-5</v>
      </c>
      <c r="F169">
        <f t="shared" si="57"/>
        <v>1.2695049650523316</v>
      </c>
      <c r="G169">
        <v>1.0381707287673277E-5</v>
      </c>
      <c r="H169">
        <f t="shared" si="58"/>
        <v>1.0381707287673276</v>
      </c>
      <c r="I169">
        <v>1.2697334123651217E-5</v>
      </c>
      <c r="J169">
        <f t="shared" si="59"/>
        <v>1.2697334123651218</v>
      </c>
    </row>
    <row r="170" spans="1:49">
      <c r="A170" s="17">
        <f t="shared" si="60"/>
        <v>7200</v>
      </c>
      <c r="B170">
        <f t="shared" si="55"/>
        <v>2</v>
      </c>
      <c r="C170">
        <v>1.3972102679260057E-5</v>
      </c>
      <c r="D170">
        <f t="shared" si="56"/>
        <v>1.3972102679260057</v>
      </c>
      <c r="E170">
        <v>1.612975525864421E-5</v>
      </c>
      <c r="F170">
        <f t="shared" si="57"/>
        <v>1.6129755258644209</v>
      </c>
      <c r="G170">
        <v>1.3828320296054335E-5</v>
      </c>
      <c r="H170">
        <f t="shared" si="58"/>
        <v>1.3828320296054335</v>
      </c>
      <c r="I170">
        <v>1.6088733797710318E-5</v>
      </c>
      <c r="J170">
        <f t="shared" si="59"/>
        <v>1.6088733797710317</v>
      </c>
    </row>
    <row r="171" spans="1:49">
      <c r="A171" s="17">
        <f t="shared" si="60"/>
        <v>9000</v>
      </c>
      <c r="B171">
        <f t="shared" si="55"/>
        <v>2.5</v>
      </c>
      <c r="C171">
        <v>1.7514877836108253E-5</v>
      </c>
      <c r="D171">
        <f t="shared" si="56"/>
        <v>1.7514877836108254</v>
      </c>
      <c r="E171">
        <v>1.9715773325199084E-5</v>
      </c>
      <c r="F171">
        <f t="shared" si="57"/>
        <v>1.9715773325199084</v>
      </c>
      <c r="G171">
        <v>1.7356193634871681E-5</v>
      </c>
      <c r="H171">
        <f t="shared" si="58"/>
        <v>1.7356193634871682</v>
      </c>
      <c r="I171">
        <v>2.0386246655017145E-5</v>
      </c>
      <c r="J171">
        <f t="shared" si="59"/>
        <v>2.0386246655017146</v>
      </c>
    </row>
    <row r="172" spans="1:49">
      <c r="A172" s="17">
        <f t="shared" si="60"/>
        <v>10800</v>
      </c>
      <c r="B172">
        <f t="shared" si="55"/>
        <v>3</v>
      </c>
      <c r="C172">
        <v>2.0767198851542792E-5</v>
      </c>
      <c r="D172">
        <f t="shared" si="56"/>
        <v>2.0767198851542794</v>
      </c>
      <c r="E172">
        <v>2.2639891444190341E-5</v>
      </c>
      <c r="F172">
        <f t="shared" si="57"/>
        <v>2.2639891444190341</v>
      </c>
      <c r="G172">
        <v>2.0658990503243032E-5</v>
      </c>
      <c r="H172">
        <f t="shared" si="58"/>
        <v>2.0658990503243033</v>
      </c>
      <c r="I172">
        <v>2.2786647412513297E-5</v>
      </c>
      <c r="J172">
        <f t="shared" si="59"/>
        <v>2.2786647412513297</v>
      </c>
    </row>
    <row r="173" spans="1:49">
      <c r="A173" s="17">
        <f>A172+60*60</f>
        <v>14400</v>
      </c>
      <c r="B173">
        <f t="shared" si="55"/>
        <v>4</v>
      </c>
      <c r="C173">
        <v>2.5914807740374955E-5</v>
      </c>
      <c r="D173">
        <f t="shared" si="56"/>
        <v>2.5914807740374957</v>
      </c>
      <c r="E173">
        <v>2.8173862289617652E-5</v>
      </c>
      <c r="F173">
        <f t="shared" si="57"/>
        <v>2.817386228961765</v>
      </c>
      <c r="G173">
        <v>2.6220416603221545E-5</v>
      </c>
      <c r="H173">
        <f t="shared" si="58"/>
        <v>2.6220416603221546</v>
      </c>
      <c r="I173">
        <v>2.8497400984882737E-5</v>
      </c>
      <c r="J173">
        <f t="shared" si="59"/>
        <v>2.8497400984882737</v>
      </c>
    </row>
    <row r="174" spans="1:49">
      <c r="A174" s="17">
        <f t="shared" ref="A174:A180" si="61">A173+60*60</f>
        <v>18000</v>
      </c>
      <c r="B174">
        <f t="shared" si="55"/>
        <v>5</v>
      </c>
      <c r="C174">
        <v>2.9219647375660158E-5</v>
      </c>
      <c r="D174">
        <f t="shared" si="56"/>
        <v>2.9219647375660158</v>
      </c>
      <c r="E174">
        <v>3.1290637895300614E-5</v>
      </c>
      <c r="F174">
        <f t="shared" si="57"/>
        <v>3.1290637895300613</v>
      </c>
      <c r="G174">
        <v>3.0712671508243555E-5</v>
      </c>
      <c r="H174">
        <f t="shared" si="58"/>
        <v>3.0712671508243554</v>
      </c>
      <c r="I174">
        <v>3.2820282586157498E-5</v>
      </c>
      <c r="J174">
        <f t="shared" si="59"/>
        <v>3.2820282586157496</v>
      </c>
    </row>
    <row r="175" spans="1:49">
      <c r="A175" s="17">
        <f t="shared" si="61"/>
        <v>21600</v>
      </c>
      <c r="B175">
        <f t="shared" si="55"/>
        <v>6</v>
      </c>
      <c r="C175">
        <v>3.2708581560430508E-5</v>
      </c>
      <c r="D175">
        <f t="shared" si="56"/>
        <v>3.270858156043051</v>
      </c>
      <c r="E175">
        <v>3.4492730174008633E-5</v>
      </c>
      <c r="F175">
        <f t="shared" si="57"/>
        <v>3.4492730174008632</v>
      </c>
      <c r="G175">
        <v>3.3624094877637209E-5</v>
      </c>
      <c r="H175">
        <f t="shared" si="58"/>
        <v>3.3624094877637209</v>
      </c>
      <c r="I175">
        <v>3.5495609178438635E-5</v>
      </c>
      <c r="J175">
        <f t="shared" si="59"/>
        <v>3.5495609178438636</v>
      </c>
    </row>
    <row r="176" spans="1:49">
      <c r="A176" s="17">
        <f t="shared" si="61"/>
        <v>25200</v>
      </c>
      <c r="B176">
        <f t="shared" si="55"/>
        <v>7</v>
      </c>
      <c r="C176">
        <v>3.4587270851412546E-5</v>
      </c>
      <c r="D176">
        <f t="shared" si="56"/>
        <v>3.4587270851412546</v>
      </c>
      <c r="E176">
        <v>3.6267468359223505E-5</v>
      </c>
      <c r="F176">
        <f t="shared" si="57"/>
        <v>3.6267468359223507</v>
      </c>
      <c r="G176">
        <v>3.555307998152519E-5</v>
      </c>
      <c r="H176">
        <f t="shared" si="58"/>
        <v>3.5553079981525189</v>
      </c>
      <c r="I176">
        <v>3.7397680352345094E-5</v>
      </c>
      <c r="J176">
        <f t="shared" si="59"/>
        <v>3.7397680352345093</v>
      </c>
    </row>
    <row r="177" spans="1:10">
      <c r="A177" s="17">
        <f t="shared" si="61"/>
        <v>28800</v>
      </c>
      <c r="B177">
        <f t="shared" si="55"/>
        <v>8</v>
      </c>
      <c r="C177">
        <v>3.4600265941248631E-5</v>
      </c>
      <c r="D177">
        <f t="shared" si="56"/>
        <v>3.4600265941248631</v>
      </c>
      <c r="E177">
        <v>3.6310854266236488E-5</v>
      </c>
      <c r="F177">
        <f t="shared" si="57"/>
        <v>3.631085426623649</v>
      </c>
      <c r="G177">
        <v>3.6503690434902013E-5</v>
      </c>
      <c r="H177">
        <f t="shared" si="58"/>
        <v>3.6503690434902012</v>
      </c>
      <c r="I177">
        <v>3.8199706542837838E-5</v>
      </c>
      <c r="J177">
        <f t="shared" si="59"/>
        <v>3.8199706542837837</v>
      </c>
    </row>
    <row r="178" spans="1:10">
      <c r="A178" s="17">
        <f t="shared" si="61"/>
        <v>32400</v>
      </c>
      <c r="B178">
        <f t="shared" si="55"/>
        <v>9</v>
      </c>
      <c r="C178">
        <v>3.4398140917917382E-5</v>
      </c>
      <c r="D178">
        <f t="shared" si="56"/>
        <v>3.4398140917917384</v>
      </c>
      <c r="E178">
        <v>3.6117722478428652E-5</v>
      </c>
      <c r="F178">
        <f t="shared" si="57"/>
        <v>3.6117722478428651</v>
      </c>
      <c r="G178">
        <v>3.7663448093392878E-5</v>
      </c>
      <c r="H178">
        <f t="shared" si="58"/>
        <v>3.7663448093392877</v>
      </c>
      <c r="I178">
        <v>3.9415191739625345E-5</v>
      </c>
      <c r="J178">
        <f t="shared" si="59"/>
        <v>3.9415191739625346</v>
      </c>
    </row>
    <row r="179" spans="1:10">
      <c r="A179" s="17">
        <f t="shared" si="61"/>
        <v>36000</v>
      </c>
      <c r="B179">
        <f t="shared" si="55"/>
        <v>10</v>
      </c>
      <c r="C179">
        <v>3.5158865101100413E-5</v>
      </c>
      <c r="D179">
        <f t="shared" si="56"/>
        <v>3.5158865101100414</v>
      </c>
      <c r="E179">
        <v>3.6981841666106538E-5</v>
      </c>
      <c r="F179">
        <f t="shared" si="57"/>
        <v>3.6981841666106536</v>
      </c>
      <c r="G179">
        <v>3.9095416325904724E-5</v>
      </c>
      <c r="H179">
        <f t="shared" si="58"/>
        <v>3.9095416325904724</v>
      </c>
      <c r="I179">
        <v>4.0650490936633528E-5</v>
      </c>
      <c r="J179">
        <f t="shared" si="59"/>
        <v>4.0650490936633528</v>
      </c>
    </row>
    <row r="180" spans="1:10">
      <c r="A180" s="17">
        <f t="shared" si="61"/>
        <v>39600</v>
      </c>
      <c r="B180">
        <f t="shared" si="55"/>
        <v>11</v>
      </c>
      <c r="C180">
        <v>3.8004033419191409E-5</v>
      </c>
      <c r="D180">
        <f t="shared" si="56"/>
        <v>3.8004033419191408</v>
      </c>
      <c r="E180">
        <v>3.950910028467928E-5</v>
      </c>
      <c r="F180">
        <f t="shared" si="57"/>
        <v>3.9509100284679279</v>
      </c>
      <c r="G180">
        <v>4.0017607009893149E-5</v>
      </c>
      <c r="H180">
        <f t="shared" si="58"/>
        <v>4.0017607009893146</v>
      </c>
      <c r="I180">
        <v>4.1299259905213879E-5</v>
      </c>
      <c r="J180">
        <f t="shared" si="59"/>
        <v>4.1299259905213876</v>
      </c>
    </row>
    <row r="181" spans="1:10">
      <c r="A181" s="17">
        <f>A180+39*60</f>
        <v>41940</v>
      </c>
      <c r="B181">
        <f>A181/60/60</f>
        <v>11.65</v>
      </c>
      <c r="C181">
        <v>3.8964924494131099E-5</v>
      </c>
      <c r="D181">
        <f t="shared" si="56"/>
        <v>3.8964924494131101</v>
      </c>
      <c r="E181">
        <v>3.9863644431778016E-5</v>
      </c>
      <c r="F181">
        <f t="shared" si="57"/>
        <v>3.9863644431778016</v>
      </c>
      <c r="G181">
        <v>4.0706271910573524E-5</v>
      </c>
      <c r="H181">
        <f t="shared" si="58"/>
        <v>4.0706271910573522</v>
      </c>
      <c r="I181">
        <v>4.1529604350090413E-5</v>
      </c>
      <c r="J181">
        <f t="shared" si="59"/>
        <v>4.1529604350090414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5CDF3-A9E3-4506-88F0-CD243ECF098D}">
  <dimension ref="A1:R59"/>
  <sheetViews>
    <sheetView tabSelected="1" workbookViewId="0">
      <selection activeCell="E7" sqref="E7"/>
    </sheetView>
  </sheetViews>
  <sheetFormatPr defaultColWidth="11.6328125" defaultRowHeight="14.5"/>
  <cols>
    <col min="1" max="1" width="14.90625" customWidth="1"/>
    <col min="2" max="2" width="12.90625" customWidth="1"/>
    <col min="5" max="5" width="15.6328125" bestFit="1" customWidth="1"/>
    <col min="6" max="6" width="19.81640625" bestFit="1" customWidth="1"/>
    <col min="7" max="7" width="21.81640625" bestFit="1" customWidth="1"/>
    <col min="8" max="8" width="21.81640625" customWidth="1"/>
    <col min="9" max="9" width="26.453125" bestFit="1" customWidth="1"/>
    <col min="10" max="10" width="26.453125" customWidth="1"/>
    <col min="11" max="12" width="19.08984375" bestFit="1" customWidth="1"/>
    <col min="13" max="14" width="19.6328125" bestFit="1" customWidth="1"/>
    <col min="15" max="15" width="18" bestFit="1" customWidth="1"/>
    <col min="16" max="16" width="17.08984375" bestFit="1" customWidth="1"/>
  </cols>
  <sheetData>
    <row r="1" spans="1:17" ht="18.5">
      <c r="A1" s="52" t="s">
        <v>114</v>
      </c>
    </row>
    <row r="3" spans="1:17" ht="15.5">
      <c r="A3" s="15" t="s">
        <v>115</v>
      </c>
      <c r="B3" s="16"/>
      <c r="C3">
        <v>187.0873</v>
      </c>
    </row>
    <row r="4" spans="1:17" ht="15.5">
      <c r="A4" s="18" t="s">
        <v>116</v>
      </c>
      <c r="B4" s="53"/>
      <c r="C4">
        <v>122.2218</v>
      </c>
    </row>
    <row r="5" spans="1:17" ht="15.5">
      <c r="A5" s="15" t="s">
        <v>117</v>
      </c>
      <c r="B5" s="16"/>
    </row>
    <row r="6" spans="1:17" ht="15.5">
      <c r="A6" s="15" t="s">
        <v>32</v>
      </c>
      <c r="B6" s="16"/>
      <c r="C6">
        <f>122.4253-C4</f>
        <v>0.20349999999999113</v>
      </c>
    </row>
    <row r="7" spans="1:17" ht="15.5">
      <c r="A7" s="15" t="s">
        <v>33</v>
      </c>
      <c r="B7" s="16"/>
      <c r="C7">
        <v>62790</v>
      </c>
      <c r="E7" t="s">
        <v>34</v>
      </c>
    </row>
    <row r="8" spans="1:17" ht="15.5">
      <c r="A8" s="15" t="s">
        <v>35</v>
      </c>
      <c r="B8" s="16"/>
      <c r="C8">
        <f>((AVERAGE(I17:I20)-AVERAGE(H17:H20))/10/60)</f>
        <v>4.8779166666666702E-3</v>
      </c>
      <c r="D8">
        <f>C8*600</f>
        <v>2.926750000000002</v>
      </c>
    </row>
    <row r="9" spans="1:17" ht="15.5">
      <c r="A9" s="15" t="s">
        <v>36</v>
      </c>
      <c r="B9" s="16"/>
      <c r="C9" s="11">
        <v>0.35416666666666669</v>
      </c>
    </row>
    <row r="10" spans="1:17" ht="15.5">
      <c r="A10" s="15" t="s">
        <v>118</v>
      </c>
      <c r="B10" s="16"/>
      <c r="C10" s="54">
        <f>LOG(AVERAGE(O17:O19))</f>
        <v>-15.703068523856995</v>
      </c>
      <c r="D10" s="17">
        <f>C10+4</f>
        <v>-11.703068523856995</v>
      </c>
    </row>
    <row r="11" spans="1:17" ht="15.5">
      <c r="A11" s="18"/>
      <c r="B11" s="18"/>
    </row>
    <row r="12" spans="1:17" ht="15.5">
      <c r="A12" s="19" t="s">
        <v>38</v>
      </c>
      <c r="B12" s="20"/>
      <c r="C12" s="20"/>
      <c r="D12" s="20"/>
      <c r="E12" s="20"/>
      <c r="F12" s="20"/>
      <c r="G12" s="23" t="s">
        <v>119</v>
      </c>
      <c r="H12" s="23"/>
      <c r="I12" s="24"/>
      <c r="J12" s="24"/>
      <c r="K12" s="25" t="s">
        <v>41</v>
      </c>
      <c r="L12" s="26"/>
      <c r="M12" s="26"/>
      <c r="N12" s="26"/>
      <c r="O12" s="27" t="s">
        <v>42</v>
      </c>
      <c r="P12" s="27"/>
      <c r="Q12" s="27"/>
    </row>
    <row r="13" spans="1:17" ht="15.5">
      <c r="A13" s="28" t="s">
        <v>7</v>
      </c>
      <c r="B13" s="28" t="s">
        <v>8</v>
      </c>
      <c r="C13" s="28" t="s">
        <v>9</v>
      </c>
      <c r="D13" s="28" t="s">
        <v>9</v>
      </c>
      <c r="E13" s="28" t="s">
        <v>9</v>
      </c>
      <c r="F13" s="28" t="s">
        <v>84</v>
      </c>
      <c r="G13" s="30" t="s">
        <v>120</v>
      </c>
      <c r="H13" s="30" t="s">
        <v>121</v>
      </c>
      <c r="I13" s="30" t="s">
        <v>122</v>
      </c>
      <c r="J13" s="30" t="s">
        <v>123</v>
      </c>
      <c r="K13" s="31" t="s">
        <v>48</v>
      </c>
      <c r="L13" s="31" t="s">
        <v>49</v>
      </c>
      <c r="M13" s="31" t="s">
        <v>50</v>
      </c>
      <c r="N13" s="31" t="s">
        <v>51</v>
      </c>
      <c r="O13" s="32" t="s">
        <v>52</v>
      </c>
      <c r="P13" s="33"/>
      <c r="Q13" s="33"/>
    </row>
    <row r="14" spans="1:17" ht="16" thickBot="1">
      <c r="A14" s="34"/>
      <c r="B14" s="34"/>
      <c r="C14" s="35"/>
      <c r="D14" s="35" t="s">
        <v>53</v>
      </c>
      <c r="E14" s="35" t="s">
        <v>54</v>
      </c>
      <c r="F14" s="35"/>
      <c r="G14" s="37" t="s">
        <v>55</v>
      </c>
      <c r="H14" s="37" t="s">
        <v>55</v>
      </c>
      <c r="I14" s="37" t="s">
        <v>55</v>
      </c>
      <c r="J14" s="37"/>
      <c r="K14" s="38" t="s">
        <v>24</v>
      </c>
      <c r="L14" s="38" t="s">
        <v>25</v>
      </c>
      <c r="M14" s="38" t="s">
        <v>24</v>
      </c>
      <c r="N14" s="38" t="s">
        <v>25</v>
      </c>
      <c r="O14" s="55" t="s">
        <v>56</v>
      </c>
      <c r="P14" s="40"/>
      <c r="Q14" s="40"/>
    </row>
    <row r="15" spans="1:17" ht="15" thickTop="1">
      <c r="A15">
        <v>1</v>
      </c>
      <c r="B15" s="41">
        <v>43740</v>
      </c>
      <c r="C15" s="11">
        <v>0.39583333333333331</v>
      </c>
      <c r="D15" s="17">
        <v>1</v>
      </c>
      <c r="E15">
        <f>D15*60*60</f>
        <v>3600</v>
      </c>
      <c r="G15">
        <v>6.67</v>
      </c>
      <c r="H15">
        <v>14.163</v>
      </c>
      <c r="I15">
        <v>17.422000000000001</v>
      </c>
      <c r="J15">
        <f>((I15-G15)-(H15-G15))/(I15-G15)</f>
        <v>0.30310639880952384</v>
      </c>
      <c r="K15">
        <v>0.68464344908009056</v>
      </c>
      <c r="L15">
        <f>K15/55.84/J15</f>
        <v>4.0450504512680403E-2</v>
      </c>
      <c r="N15">
        <f t="shared" ref="N15:N28" si="0">M15/55.84*(I15/G15)</f>
        <v>0</v>
      </c>
      <c r="O15">
        <f>(L15/10000000)*$C$8/($C$6*$C$7)</f>
        <v>1.5441995539711966E-15</v>
      </c>
    </row>
    <row r="16" spans="1:17">
      <c r="A16">
        <v>2</v>
      </c>
      <c r="B16" s="41">
        <v>43740</v>
      </c>
      <c r="C16" s="11">
        <v>0.47916666666666669</v>
      </c>
      <c r="D16" s="17">
        <v>3</v>
      </c>
      <c r="E16">
        <f t="shared" ref="E16:E28" si="1">D16*60*60</f>
        <v>10800</v>
      </c>
      <c r="G16">
        <v>6.6025999999999998</v>
      </c>
      <c r="H16">
        <v>14.035</v>
      </c>
      <c r="I16">
        <v>17.753</v>
      </c>
      <c r="J16">
        <f t="shared" ref="J16:J27" si="2">((I16-G16)-(H16-G16))/(I16-G16)</f>
        <v>0.33344095279093133</v>
      </c>
      <c r="K16">
        <v>0.21973901348371816</v>
      </c>
      <c r="L16">
        <f t="shared" ref="L16:L26" si="3">K16/55.84/J16</f>
        <v>1.1801652496474455E-2</v>
      </c>
      <c r="N16">
        <f t="shared" si="0"/>
        <v>0</v>
      </c>
      <c r="O16">
        <f t="shared" ref="O16:O28" si="4">(L16/10000000)*$C$8/($C$6*$C$7)</f>
        <v>4.505285345814669E-16</v>
      </c>
    </row>
    <row r="17" spans="1:15">
      <c r="A17">
        <v>3</v>
      </c>
      <c r="B17" s="41">
        <v>43740</v>
      </c>
      <c r="C17" s="11">
        <v>0.5625</v>
      </c>
      <c r="D17" s="17">
        <v>5</v>
      </c>
      <c r="E17">
        <f t="shared" si="1"/>
        <v>18000</v>
      </c>
      <c r="G17">
        <v>6.5918999999999999</v>
      </c>
      <c r="H17">
        <v>13.946999999999999</v>
      </c>
      <c r="I17">
        <v>16.803000000000001</v>
      </c>
      <c r="J17">
        <f t="shared" si="2"/>
        <v>0.27969562534888526</v>
      </c>
      <c r="K17">
        <v>7.9767785562229659E-2</v>
      </c>
      <c r="L17">
        <f t="shared" si="3"/>
        <v>5.1073597831695159E-3</v>
      </c>
      <c r="N17">
        <f t="shared" si="0"/>
        <v>0</v>
      </c>
      <c r="O17">
        <f t="shared" si="4"/>
        <v>1.949736546961596E-16</v>
      </c>
    </row>
    <row r="18" spans="1:15" ht="15.5">
      <c r="A18">
        <v>4</v>
      </c>
      <c r="B18" s="41">
        <v>43740</v>
      </c>
      <c r="C18" s="11">
        <v>0.64583333333333304</v>
      </c>
      <c r="D18" s="17">
        <v>7</v>
      </c>
      <c r="E18">
        <f t="shared" si="1"/>
        <v>25200</v>
      </c>
      <c r="F18">
        <v>5.8</v>
      </c>
      <c r="G18">
        <v>6.7148000000000003</v>
      </c>
      <c r="H18">
        <v>14.112</v>
      </c>
      <c r="I18">
        <v>16.670999999999999</v>
      </c>
      <c r="J18">
        <f t="shared" si="2"/>
        <v>0.25702577288523731</v>
      </c>
      <c r="K18" s="51">
        <v>6.976984071069478E-2</v>
      </c>
      <c r="L18">
        <f t="shared" si="3"/>
        <v>4.8612241647535033E-3</v>
      </c>
      <c r="N18">
        <f t="shared" si="0"/>
        <v>0</v>
      </c>
      <c r="O18">
        <f t="shared" si="4"/>
        <v>1.8557741806689127E-16</v>
      </c>
    </row>
    <row r="19" spans="1:15" ht="15.5">
      <c r="A19">
        <v>5</v>
      </c>
      <c r="B19" s="41">
        <v>43740</v>
      </c>
      <c r="C19" s="11">
        <v>0.72916666666666596</v>
      </c>
      <c r="D19" s="17">
        <v>9</v>
      </c>
      <c r="E19">
        <f t="shared" si="1"/>
        <v>32400</v>
      </c>
      <c r="G19">
        <v>9.5914999999999999</v>
      </c>
      <c r="H19">
        <v>13.984</v>
      </c>
      <c r="I19">
        <v>16.899000000000001</v>
      </c>
      <c r="J19">
        <f t="shared" si="2"/>
        <v>0.39890523434827241</v>
      </c>
      <c r="K19" s="51">
        <v>0.12475853739413668</v>
      </c>
      <c r="L19">
        <f t="shared" si="3"/>
        <v>5.600865324645112E-3</v>
      </c>
      <c r="N19">
        <f t="shared" si="0"/>
        <v>0</v>
      </c>
      <c r="O19">
        <f t="shared" si="4"/>
        <v>2.1381324758158424E-16</v>
      </c>
    </row>
    <row r="20" spans="1:15" ht="15.5">
      <c r="A20">
        <v>6</v>
      </c>
      <c r="B20" s="41">
        <v>43741</v>
      </c>
      <c r="C20" s="11">
        <v>0.34722222222222227</v>
      </c>
      <c r="D20" s="17">
        <f>24-1/6</f>
        <v>23.833333333333332</v>
      </c>
      <c r="E20">
        <f t="shared" si="1"/>
        <v>85800</v>
      </c>
      <c r="G20">
        <v>6.5884</v>
      </c>
      <c r="H20">
        <v>13.994999999999999</v>
      </c>
      <c r="I20">
        <v>17.372</v>
      </c>
      <c r="J20">
        <f t="shared" si="2"/>
        <v>0.31316072554619984</v>
      </c>
      <c r="K20" s="51">
        <v>5.4772923433392448E-2</v>
      </c>
      <c r="L20">
        <f t="shared" si="3"/>
        <v>3.1322269448749184E-3</v>
      </c>
      <c r="N20">
        <f t="shared" si="0"/>
        <v>0</v>
      </c>
      <c r="O20">
        <f t="shared" si="4"/>
        <v>1.1957288319348852E-16</v>
      </c>
    </row>
    <row r="21" spans="1:15" ht="15.5">
      <c r="A21">
        <v>7</v>
      </c>
      <c r="B21" s="41">
        <v>43741</v>
      </c>
      <c r="C21" s="11">
        <v>0.43055555555555558</v>
      </c>
      <c r="D21" s="17">
        <f>D20+2</f>
        <v>25.833333333333332</v>
      </c>
      <c r="E21">
        <f t="shared" si="1"/>
        <v>93000</v>
      </c>
      <c r="G21">
        <v>6.6459000000000001</v>
      </c>
      <c r="H21">
        <v>13.944000000000001</v>
      </c>
      <c r="I21">
        <v>18.231999999999999</v>
      </c>
      <c r="J21">
        <f t="shared" si="2"/>
        <v>0.3700986526959027</v>
      </c>
      <c r="K21" s="51">
        <v>7.4768813136462234E-2</v>
      </c>
      <c r="L21">
        <f t="shared" si="3"/>
        <v>3.6179084509528046E-3</v>
      </c>
      <c r="N21">
        <f t="shared" si="0"/>
        <v>0</v>
      </c>
      <c r="O21">
        <f t="shared" si="4"/>
        <v>1.3811379322892266E-16</v>
      </c>
    </row>
    <row r="22" spans="1:15" ht="15.5">
      <c r="A22">
        <v>8</v>
      </c>
      <c r="B22" s="41">
        <v>43741</v>
      </c>
      <c r="C22" s="11">
        <v>0.51388888888888895</v>
      </c>
      <c r="D22" s="17">
        <f t="shared" ref="D22:D25" si="5">D21+2</f>
        <v>27.833333333333332</v>
      </c>
      <c r="E22">
        <f t="shared" si="1"/>
        <v>100200</v>
      </c>
      <c r="G22">
        <v>6.7084000000000001</v>
      </c>
      <c r="H22">
        <v>14.077999999999999</v>
      </c>
      <c r="I22">
        <v>14.608000000000001</v>
      </c>
      <c r="J22">
        <f t="shared" si="2"/>
        <v>6.7092004658463864E-2</v>
      </c>
      <c r="K22" s="51">
        <v>5.9771895859159881E-2</v>
      </c>
      <c r="L22">
        <f t="shared" si="3"/>
        <v>1.5954413841738468E-2</v>
      </c>
      <c r="N22">
        <f t="shared" si="0"/>
        <v>0</v>
      </c>
      <c r="O22">
        <f t="shared" si="4"/>
        <v>6.0906035746875047E-16</v>
      </c>
    </row>
    <row r="23" spans="1:15" ht="15.5">
      <c r="A23">
        <v>9</v>
      </c>
      <c r="B23" s="41">
        <v>43741</v>
      </c>
      <c r="C23" s="11">
        <v>0.59722222222222199</v>
      </c>
      <c r="D23" s="17">
        <f t="shared" si="5"/>
        <v>29.833333333333332</v>
      </c>
      <c r="E23">
        <f t="shared" si="1"/>
        <v>107400</v>
      </c>
      <c r="G23">
        <v>6.6298000000000004</v>
      </c>
      <c r="H23">
        <v>11.715999999999999</v>
      </c>
      <c r="I23">
        <v>14.647</v>
      </c>
      <c r="J23">
        <f t="shared" si="2"/>
        <v>0.36558898368507714</v>
      </c>
      <c r="K23" s="51">
        <v>0.11476059254260179</v>
      </c>
      <c r="L23">
        <f t="shared" si="3"/>
        <v>5.6215266221747934E-3</v>
      </c>
      <c r="N23">
        <f t="shared" si="0"/>
        <v>0</v>
      </c>
      <c r="O23">
        <f t="shared" si="4"/>
        <v>2.1460199340352567E-16</v>
      </c>
    </row>
    <row r="24" spans="1:15">
      <c r="A24">
        <v>10</v>
      </c>
      <c r="B24" s="41">
        <v>43741</v>
      </c>
      <c r="C24" s="11">
        <v>0.68055555555555503</v>
      </c>
      <c r="D24" s="17">
        <f t="shared" si="5"/>
        <v>31.833333333333332</v>
      </c>
      <c r="E24">
        <f t="shared" si="1"/>
        <v>114600</v>
      </c>
      <c r="G24">
        <v>6.6085000000000003</v>
      </c>
      <c r="H24">
        <v>13.988</v>
      </c>
      <c r="I24">
        <v>17.260999999999999</v>
      </c>
      <c r="J24">
        <f t="shared" si="2"/>
        <v>0.30725181882187286</v>
      </c>
      <c r="K24">
        <v>3.4777033730322655E-2</v>
      </c>
      <c r="L24">
        <f t="shared" si="3"/>
        <v>2.0269949397796133E-3</v>
      </c>
      <c r="N24">
        <f t="shared" si="0"/>
        <v>0</v>
      </c>
      <c r="O24">
        <f t="shared" si="4"/>
        <v>7.7380609206699386E-17</v>
      </c>
    </row>
    <row r="25" spans="1:15">
      <c r="A25">
        <v>11</v>
      </c>
      <c r="B25" s="41">
        <v>43741</v>
      </c>
      <c r="C25" s="11">
        <v>0.76388888888888895</v>
      </c>
      <c r="D25" s="17">
        <f t="shared" si="5"/>
        <v>33.833333333333329</v>
      </c>
      <c r="E25">
        <f t="shared" si="1"/>
        <v>121799.99999999999</v>
      </c>
      <c r="G25">
        <v>6.7009999999999996</v>
      </c>
      <c r="K25">
        <v>0.44469277264325324</v>
      </c>
      <c r="N25">
        <f t="shared" si="0"/>
        <v>0</v>
      </c>
      <c r="O25">
        <f t="shared" si="4"/>
        <v>0</v>
      </c>
    </row>
    <row r="26" spans="1:15">
      <c r="A26">
        <v>12</v>
      </c>
      <c r="B26" s="41">
        <v>43742</v>
      </c>
      <c r="C26" s="11">
        <v>0.35416666666666669</v>
      </c>
      <c r="D26" s="17">
        <f>2*24</f>
        <v>48</v>
      </c>
      <c r="E26">
        <f t="shared" si="1"/>
        <v>172800</v>
      </c>
      <c r="G26">
        <v>6.6562999999999999</v>
      </c>
      <c r="H26">
        <v>14.04</v>
      </c>
      <c r="I26">
        <v>17.641999999999999</v>
      </c>
      <c r="J26">
        <f t="shared" si="2"/>
        <v>0.32788079048217234</v>
      </c>
      <c r="K26">
        <v>0.29472359987022984</v>
      </c>
      <c r="L26">
        <f t="shared" si="3"/>
        <v>1.6097318243557698E-2</v>
      </c>
      <c r="N26">
        <f t="shared" si="0"/>
        <v>0</v>
      </c>
      <c r="O26">
        <f t="shared" si="4"/>
        <v>6.1451573846358083E-16</v>
      </c>
    </row>
    <row r="27" spans="1:15">
      <c r="A27">
        <v>13</v>
      </c>
      <c r="B27" s="41">
        <v>43742</v>
      </c>
      <c r="C27" s="11">
        <v>0.4375</v>
      </c>
      <c r="D27" s="17">
        <f>D26+2</f>
        <v>50</v>
      </c>
      <c r="E27">
        <f t="shared" si="1"/>
        <v>180000</v>
      </c>
      <c r="G27">
        <v>6.6148999999999996</v>
      </c>
      <c r="H27">
        <v>14.016</v>
      </c>
      <c r="I27">
        <v>17.059000000000001</v>
      </c>
      <c r="J27">
        <f t="shared" si="2"/>
        <v>0.29136067253281767</v>
      </c>
      <c r="N27">
        <f t="shared" si="0"/>
        <v>0</v>
      </c>
      <c r="O27">
        <f t="shared" si="4"/>
        <v>0</v>
      </c>
    </row>
    <row r="28" spans="1:15">
      <c r="A28">
        <v>14</v>
      </c>
      <c r="B28" s="41">
        <v>43742</v>
      </c>
      <c r="C28" s="11">
        <v>0.52083333333333337</v>
      </c>
      <c r="D28" s="17">
        <f>D27+2</f>
        <v>52</v>
      </c>
      <c r="E28">
        <f t="shared" si="1"/>
        <v>187200</v>
      </c>
      <c r="G28">
        <v>6.6951999999999998</v>
      </c>
      <c r="H28">
        <v>14.105</v>
      </c>
      <c r="N28">
        <f t="shared" si="0"/>
        <v>0</v>
      </c>
      <c r="O28">
        <f t="shared" si="4"/>
        <v>0</v>
      </c>
    </row>
    <row r="32" spans="1:15" ht="18.5">
      <c r="A32" s="52" t="s">
        <v>124</v>
      </c>
    </row>
    <row r="34" spans="1:18" ht="15.5">
      <c r="A34" s="15" t="s">
        <v>115</v>
      </c>
      <c r="B34" s="16"/>
      <c r="C34">
        <v>186.66300000000001</v>
      </c>
    </row>
    <row r="35" spans="1:18" ht="15.5">
      <c r="A35" s="18" t="s">
        <v>116</v>
      </c>
      <c r="B35" s="53"/>
      <c r="C35">
        <v>121.649</v>
      </c>
    </row>
    <row r="36" spans="1:18" ht="15.5">
      <c r="A36" s="15" t="s">
        <v>117</v>
      </c>
      <c r="B36" s="16"/>
    </row>
    <row r="37" spans="1:18" ht="15.5">
      <c r="A37" s="15" t="s">
        <v>32</v>
      </c>
      <c r="B37" s="16"/>
      <c r="C37">
        <f>121.8863-C35</f>
        <v>0.23730000000000473</v>
      </c>
    </row>
    <row r="38" spans="1:18" ht="15.5">
      <c r="A38" s="15" t="s">
        <v>33</v>
      </c>
      <c r="B38" s="16"/>
      <c r="C38">
        <v>62790</v>
      </c>
      <c r="E38" t="s">
        <v>34</v>
      </c>
    </row>
    <row r="39" spans="1:18" ht="15.5">
      <c r="A39" s="15" t="s">
        <v>35</v>
      </c>
      <c r="B39" s="16"/>
      <c r="C39">
        <f>((AVERAGE(I48:I51)-AVERAGE(H48:H51))/10/60)</f>
        <v>5.4074999999999974E-3</v>
      </c>
    </row>
    <row r="40" spans="1:18" ht="15.5">
      <c r="A40" s="15" t="s">
        <v>36</v>
      </c>
      <c r="B40" s="16"/>
      <c r="C40" s="11">
        <v>0.35416666666666669</v>
      </c>
    </row>
    <row r="41" spans="1:18" ht="15.5">
      <c r="A41" s="15" t="s">
        <v>118</v>
      </c>
      <c r="B41" s="16"/>
      <c r="C41" s="54">
        <f>LOG(AVERAGE(O47:O49))</f>
        <v>-16.162646016675296</v>
      </c>
      <c r="D41" s="17">
        <f>C41+4</f>
        <v>-12.162646016675296</v>
      </c>
    </row>
    <row r="42" spans="1:18" ht="15.5">
      <c r="A42" s="18"/>
      <c r="B42" s="18"/>
    </row>
    <row r="43" spans="1:18" ht="15.5">
      <c r="A43" s="19" t="s">
        <v>38</v>
      </c>
      <c r="B43" s="20"/>
      <c r="C43" s="20"/>
      <c r="D43" s="20"/>
      <c r="E43" s="20"/>
      <c r="F43" s="20"/>
      <c r="G43" s="23" t="s">
        <v>119</v>
      </c>
      <c r="H43" s="23"/>
      <c r="I43" s="24"/>
      <c r="J43" s="24"/>
      <c r="K43" s="25" t="s">
        <v>41</v>
      </c>
      <c r="L43" s="26"/>
      <c r="M43" s="26"/>
      <c r="N43" s="26"/>
      <c r="O43" s="27" t="s">
        <v>42</v>
      </c>
      <c r="P43" s="27"/>
      <c r="Q43" s="27"/>
      <c r="R43" s="49"/>
    </row>
    <row r="44" spans="1:18" ht="15.5">
      <c r="A44" s="28" t="s">
        <v>7</v>
      </c>
      <c r="B44" s="28" t="s">
        <v>8</v>
      </c>
      <c r="C44" s="28" t="s">
        <v>9</v>
      </c>
      <c r="D44" s="28" t="s">
        <v>9</v>
      </c>
      <c r="E44" s="28" t="s">
        <v>9</v>
      </c>
      <c r="F44" s="28" t="s">
        <v>84</v>
      </c>
      <c r="G44" s="30" t="s">
        <v>120</v>
      </c>
      <c r="H44" s="30" t="s">
        <v>121</v>
      </c>
      <c r="I44" s="30" t="s">
        <v>122</v>
      </c>
      <c r="J44" s="30" t="s">
        <v>123</v>
      </c>
      <c r="K44" s="31" t="s">
        <v>48</v>
      </c>
      <c r="L44" s="31" t="s">
        <v>49</v>
      </c>
      <c r="M44" s="31" t="s">
        <v>50</v>
      </c>
      <c r="N44" s="31" t="s">
        <v>51</v>
      </c>
      <c r="O44" s="32" t="s">
        <v>52</v>
      </c>
      <c r="P44" s="33"/>
      <c r="Q44" s="33"/>
      <c r="R44" s="56"/>
    </row>
    <row r="45" spans="1:18" ht="16" thickBot="1">
      <c r="A45" s="34"/>
      <c r="B45" s="34"/>
      <c r="C45" s="35"/>
      <c r="D45" s="35" t="s">
        <v>53</v>
      </c>
      <c r="E45" s="35" t="s">
        <v>54</v>
      </c>
      <c r="F45" s="35"/>
      <c r="G45" s="37" t="s">
        <v>55</v>
      </c>
      <c r="H45" s="37" t="s">
        <v>55</v>
      </c>
      <c r="I45" s="37" t="s">
        <v>55</v>
      </c>
      <c r="J45" s="37"/>
      <c r="K45" s="38" t="s">
        <v>24</v>
      </c>
      <c r="L45" s="38" t="s">
        <v>25</v>
      </c>
      <c r="M45" s="38" t="s">
        <v>24</v>
      </c>
      <c r="N45" s="38" t="s">
        <v>25</v>
      </c>
      <c r="O45" s="55" t="s">
        <v>56</v>
      </c>
      <c r="P45" s="40"/>
      <c r="Q45" s="40"/>
    </row>
    <row r="46" spans="1:18" ht="15" thickTop="1">
      <c r="A46">
        <v>1</v>
      </c>
      <c r="B46" s="41">
        <v>43740</v>
      </c>
      <c r="C46" s="11">
        <v>0.39583333333333331</v>
      </c>
      <c r="D46" s="17">
        <v>1</v>
      </c>
      <c r="E46">
        <f>D46*60*60</f>
        <v>3600</v>
      </c>
      <c r="G46">
        <v>6.6093000000000002</v>
      </c>
      <c r="H46">
        <v>13.994999999999999</v>
      </c>
      <c r="I46">
        <v>15.167999999999999</v>
      </c>
      <c r="J46">
        <f>((I46-G46)-(H46-G46))/(I46-G46)</f>
        <v>0.13705352448385846</v>
      </c>
      <c r="K46">
        <v>0.15475237194874134</v>
      </c>
      <c r="L46">
        <f>K46/55.84*((I46-G46)/(H46-G46))</f>
        <v>3.2115008803838413E-3</v>
      </c>
      <c r="N46">
        <f t="shared" ref="N46:N59" si="6">M46/55.84*(I46/G46)</f>
        <v>0</v>
      </c>
      <c r="O46">
        <f>(L46/10000000)*$C$39/($C$37*$C$38)</f>
        <v>1.1655109343250113E-16</v>
      </c>
    </row>
    <row r="47" spans="1:18">
      <c r="A47">
        <v>2</v>
      </c>
      <c r="B47" s="41">
        <v>43740</v>
      </c>
      <c r="C47" s="11">
        <v>0.47916666666666669</v>
      </c>
      <c r="D47" s="17">
        <v>3</v>
      </c>
      <c r="E47">
        <f t="shared" ref="E47:E59" si="7">D47*60*60</f>
        <v>10800</v>
      </c>
      <c r="G47">
        <v>6.7281000000000004</v>
      </c>
      <c r="H47">
        <v>14.137</v>
      </c>
      <c r="I47">
        <v>17.718</v>
      </c>
      <c r="J47">
        <f t="shared" ref="J47:J57" si="8">((I47-G47)-(H47-G47))/(I47-G47)</f>
        <v>0.32584463916869116</v>
      </c>
      <c r="K47">
        <v>6.4770868284927327E-2</v>
      </c>
      <c r="L47">
        <f t="shared" ref="L47:L59" si="9">K47/55.84*((I47-G47)/(H47-G47))</f>
        <v>1.7205778079450974E-3</v>
      </c>
      <c r="N47">
        <f t="shared" si="6"/>
        <v>0</v>
      </c>
      <c r="O47">
        <f t="shared" ref="O47:O59" si="10">(L47/10000000)*$C$39/($C$37*$C$38)</f>
        <v>6.2442836642700497E-17</v>
      </c>
    </row>
    <row r="48" spans="1:18">
      <c r="A48">
        <v>3</v>
      </c>
      <c r="B48" s="41">
        <v>43740</v>
      </c>
      <c r="C48" s="11">
        <v>0.5625</v>
      </c>
      <c r="D48" s="17">
        <v>5</v>
      </c>
      <c r="E48">
        <f t="shared" si="7"/>
        <v>18000</v>
      </c>
      <c r="G48">
        <v>6.5774999999999997</v>
      </c>
      <c r="H48">
        <v>13.977</v>
      </c>
      <c r="I48">
        <v>17.178000000000001</v>
      </c>
      <c r="J48">
        <f t="shared" si="8"/>
        <v>0.30196688835432289</v>
      </c>
      <c r="K48">
        <v>7.4768813136462234E-2</v>
      </c>
      <c r="L48">
        <f t="shared" si="9"/>
        <v>1.9182228191410259E-3</v>
      </c>
      <c r="N48">
        <f t="shared" si="6"/>
        <v>0</v>
      </c>
      <c r="O48">
        <f t="shared" si="10"/>
        <v>6.9615726523275941E-17</v>
      </c>
    </row>
    <row r="49" spans="1:15" ht="15.5">
      <c r="A49">
        <v>4</v>
      </c>
      <c r="B49" s="41">
        <v>43740</v>
      </c>
      <c r="C49" s="11">
        <v>0.64583333333333304</v>
      </c>
      <c r="D49" s="17">
        <v>7</v>
      </c>
      <c r="E49">
        <f t="shared" si="7"/>
        <v>25200</v>
      </c>
      <c r="G49">
        <v>6.6345000000000001</v>
      </c>
      <c r="H49">
        <v>14.038</v>
      </c>
      <c r="I49">
        <v>17.234999999999999</v>
      </c>
      <c r="J49">
        <f t="shared" si="8"/>
        <v>0.30158954766284607</v>
      </c>
      <c r="K49" s="51">
        <v>7.9767785562229659E-2</v>
      </c>
      <c r="L49">
        <f t="shared" si="9"/>
        <v>2.0453677112864011E-3</v>
      </c>
      <c r="N49">
        <f t="shared" si="6"/>
        <v>0</v>
      </c>
      <c r="O49">
        <f t="shared" si="10"/>
        <v>7.4230041373511858E-17</v>
      </c>
    </row>
    <row r="50" spans="1:15" ht="15.5">
      <c r="A50">
        <v>5</v>
      </c>
      <c r="B50" s="41">
        <v>43740</v>
      </c>
      <c r="C50" s="11">
        <v>0.72916666666666596</v>
      </c>
      <c r="D50" s="17">
        <v>9</v>
      </c>
      <c r="E50">
        <f t="shared" si="7"/>
        <v>32400</v>
      </c>
      <c r="G50">
        <v>6.7016999999999998</v>
      </c>
      <c r="H50">
        <v>14.106999999999999</v>
      </c>
      <c r="I50">
        <v>17.25</v>
      </c>
      <c r="J50">
        <f t="shared" si="8"/>
        <v>0.29796270489083559</v>
      </c>
      <c r="K50" s="51">
        <v>3.9776006156090102E-2</v>
      </c>
      <c r="L50">
        <f t="shared" si="9"/>
        <v>1.0146484127169443E-3</v>
      </c>
      <c r="N50">
        <f t="shared" si="6"/>
        <v>0</v>
      </c>
      <c r="O50">
        <f t="shared" si="10"/>
        <v>3.6823400134823309E-17</v>
      </c>
    </row>
    <row r="51" spans="1:15" ht="15.5">
      <c r="A51">
        <v>6</v>
      </c>
      <c r="B51" s="41">
        <v>43741</v>
      </c>
      <c r="C51" s="11">
        <v>0.34722222222222227</v>
      </c>
      <c r="D51" s="17">
        <f>24-1/6</f>
        <v>23.833333333333332</v>
      </c>
      <c r="E51">
        <f t="shared" si="7"/>
        <v>85800</v>
      </c>
      <c r="G51">
        <v>6.5829000000000004</v>
      </c>
      <c r="H51">
        <v>13.956</v>
      </c>
      <c r="I51">
        <v>17.393000000000001</v>
      </c>
      <c r="J51">
        <f t="shared" si="8"/>
        <v>0.31794340477886429</v>
      </c>
      <c r="K51" s="51">
        <v>0.54467222115860214</v>
      </c>
      <c r="L51">
        <f t="shared" si="9"/>
        <v>1.4301098701652316E-2</v>
      </c>
      <c r="N51">
        <f t="shared" si="6"/>
        <v>0</v>
      </c>
      <c r="O51">
        <f t="shared" si="10"/>
        <v>5.1901237242210609E-16</v>
      </c>
    </row>
    <row r="52" spans="1:15" ht="15.5">
      <c r="A52">
        <v>7</v>
      </c>
      <c r="B52" s="41">
        <v>43741</v>
      </c>
      <c r="C52" s="11">
        <v>0.43055555555555558</v>
      </c>
      <c r="D52" s="17">
        <f>D51+2</f>
        <v>25.833333333333332</v>
      </c>
      <c r="E52">
        <f t="shared" si="7"/>
        <v>93000</v>
      </c>
      <c r="F52">
        <v>5.8</v>
      </c>
      <c r="G52">
        <v>6.6308999999999996</v>
      </c>
      <c r="H52">
        <v>14.006</v>
      </c>
      <c r="I52">
        <v>18.687999999999999</v>
      </c>
      <c r="J52">
        <f t="shared" si="8"/>
        <v>0.38831891582553008</v>
      </c>
      <c r="K52" s="51">
        <v>0.68464344908009056</v>
      </c>
      <c r="L52">
        <f t="shared" si="9"/>
        <v>2.0044443207548654E-2</v>
      </c>
      <c r="N52">
        <f t="shared" si="6"/>
        <v>0</v>
      </c>
      <c r="O52">
        <f t="shared" si="10"/>
        <v>7.274485855990925E-16</v>
      </c>
    </row>
    <row r="53" spans="1:15" ht="15.5">
      <c r="A53">
        <v>8</v>
      </c>
      <c r="B53" s="41">
        <v>43741</v>
      </c>
      <c r="C53" s="11">
        <v>0.51388888888888895</v>
      </c>
      <c r="D53" s="17">
        <f t="shared" ref="D53:D56" si="11">D52+2</f>
        <v>27.833333333333332</v>
      </c>
      <c r="E53">
        <f t="shared" si="7"/>
        <v>100200</v>
      </c>
      <c r="G53">
        <v>6.6148999999999996</v>
      </c>
      <c r="H53">
        <v>14.025</v>
      </c>
      <c r="I53">
        <v>15.281000000000001</v>
      </c>
      <c r="J53">
        <f t="shared" si="8"/>
        <v>0.14493255328232993</v>
      </c>
      <c r="K53" s="51">
        <v>1.954382445225022</v>
      </c>
      <c r="L53">
        <f t="shared" si="9"/>
        <v>4.0932075894141273E-2</v>
      </c>
      <c r="N53">
        <f t="shared" si="6"/>
        <v>0</v>
      </c>
      <c r="O53">
        <f t="shared" si="10"/>
        <v>1.4854980208985932E-15</v>
      </c>
    </row>
    <row r="54" spans="1:15" ht="15.5">
      <c r="A54">
        <v>9</v>
      </c>
      <c r="B54" s="41">
        <v>43741</v>
      </c>
      <c r="C54" s="11">
        <v>0.59722222222222199</v>
      </c>
      <c r="D54" s="17">
        <f t="shared" si="11"/>
        <v>29.833333333333332</v>
      </c>
      <c r="E54">
        <f t="shared" si="7"/>
        <v>107400</v>
      </c>
      <c r="G54">
        <v>6.6839000000000004</v>
      </c>
      <c r="H54">
        <v>14.066000000000001</v>
      </c>
      <c r="I54">
        <v>16.460999999999999</v>
      </c>
      <c r="J54">
        <f t="shared" si="8"/>
        <v>0.24496016201123008</v>
      </c>
      <c r="K54" s="51">
        <v>0.88460234611078847</v>
      </c>
      <c r="L54">
        <f t="shared" si="9"/>
        <v>2.098132013999273E-2</v>
      </c>
      <c r="N54">
        <f t="shared" si="6"/>
        <v>0</v>
      </c>
      <c r="O54">
        <f t="shared" si="10"/>
        <v>7.6144952003912717E-16</v>
      </c>
    </row>
    <row r="55" spans="1:15">
      <c r="A55">
        <v>10</v>
      </c>
      <c r="B55" s="41">
        <v>43741</v>
      </c>
      <c r="C55" s="11">
        <v>0.68055555555555503</v>
      </c>
      <c r="D55" s="17">
        <f t="shared" si="11"/>
        <v>31.833333333333332</v>
      </c>
      <c r="E55">
        <f t="shared" si="7"/>
        <v>114600</v>
      </c>
      <c r="G55">
        <v>6.5933999999999999</v>
      </c>
      <c r="H55">
        <v>13.9</v>
      </c>
      <c r="I55">
        <v>14.465999999999999</v>
      </c>
      <c r="J55">
        <f t="shared" si="8"/>
        <v>7.1894926707821938E-2</v>
      </c>
      <c r="K55">
        <v>1.5894574581439984</v>
      </c>
      <c r="L55">
        <f t="shared" si="9"/>
        <v>3.0669475737229508E-2</v>
      </c>
      <c r="N55">
        <f t="shared" si="6"/>
        <v>0</v>
      </c>
      <c r="O55">
        <f t="shared" si="10"/>
        <v>1.1130499617824884E-15</v>
      </c>
    </row>
    <row r="56" spans="1:15">
      <c r="A56">
        <v>11</v>
      </c>
      <c r="B56" s="41">
        <v>43741</v>
      </c>
      <c r="C56" s="11">
        <v>0.76388888888888895</v>
      </c>
      <c r="D56" s="17">
        <f t="shared" si="11"/>
        <v>33.833333333333329</v>
      </c>
      <c r="E56">
        <f t="shared" si="7"/>
        <v>121799.99999999999</v>
      </c>
      <c r="G56">
        <v>6.6016000000000004</v>
      </c>
      <c r="J56">
        <f t="shared" si="8"/>
        <v>0</v>
      </c>
      <c r="K56">
        <v>1.674439989382045</v>
      </c>
      <c r="N56">
        <f t="shared" si="6"/>
        <v>0</v>
      </c>
      <c r="O56">
        <f t="shared" si="10"/>
        <v>0</v>
      </c>
    </row>
    <row r="57" spans="1:15">
      <c r="A57">
        <v>12</v>
      </c>
      <c r="B57" s="41">
        <v>43742</v>
      </c>
      <c r="C57" s="11">
        <v>0.35416666666666669</v>
      </c>
      <c r="D57" s="17">
        <f>2*24</f>
        <v>48</v>
      </c>
      <c r="E57">
        <f t="shared" si="7"/>
        <v>172800</v>
      </c>
      <c r="G57">
        <v>6.5982000000000003</v>
      </c>
      <c r="H57">
        <v>13.997</v>
      </c>
      <c r="I57">
        <v>17.201000000000001</v>
      </c>
      <c r="J57">
        <f t="shared" si="8"/>
        <v>0.30218432866789907</v>
      </c>
      <c r="K57">
        <v>1.744425603342789</v>
      </c>
      <c r="L57">
        <f t="shared" si="9"/>
        <v>4.4767858920790791E-2</v>
      </c>
      <c r="N57">
        <f t="shared" si="6"/>
        <v>0</v>
      </c>
      <c r="O57">
        <f t="shared" si="10"/>
        <v>1.6247054265874863E-15</v>
      </c>
    </row>
    <row r="58" spans="1:15">
      <c r="A58">
        <v>13</v>
      </c>
      <c r="B58" s="41">
        <v>43742</v>
      </c>
      <c r="C58" s="11">
        <v>0.4375</v>
      </c>
      <c r="D58" s="17">
        <f>D57+2</f>
        <v>50</v>
      </c>
      <c r="E58">
        <f t="shared" si="7"/>
        <v>180000</v>
      </c>
      <c r="G58">
        <v>6.7294</v>
      </c>
      <c r="H58">
        <v>14.198</v>
      </c>
      <c r="I58">
        <v>17.106000000000002</v>
      </c>
      <c r="K58">
        <v>1.3745016438359983</v>
      </c>
      <c r="L58">
        <f t="shared" si="9"/>
        <v>3.419918286505208E-2</v>
      </c>
      <c r="N58">
        <f t="shared" si="6"/>
        <v>0</v>
      </c>
      <c r="O58">
        <f t="shared" si="10"/>
        <v>1.2411493273336647E-15</v>
      </c>
    </row>
    <row r="59" spans="1:15">
      <c r="A59">
        <v>14</v>
      </c>
      <c r="B59" s="41">
        <v>43742</v>
      </c>
      <c r="C59" s="11">
        <v>0.52083333333333337</v>
      </c>
      <c r="D59" s="17">
        <f>D58+2</f>
        <v>52</v>
      </c>
      <c r="E59">
        <f t="shared" si="7"/>
        <v>187200</v>
      </c>
      <c r="G59">
        <v>6.7385999999999999</v>
      </c>
      <c r="H59">
        <v>14.112</v>
      </c>
      <c r="L59">
        <f t="shared" si="9"/>
        <v>0</v>
      </c>
      <c r="N59">
        <f t="shared" si="6"/>
        <v>0</v>
      </c>
      <c r="O59">
        <f t="shared" si="10"/>
        <v>0</v>
      </c>
    </row>
  </sheetData>
  <mergeCells count="14">
    <mergeCell ref="A40:B40"/>
    <mergeCell ref="A41:B41"/>
    <mergeCell ref="A10:B10"/>
    <mergeCell ref="A34:B34"/>
    <mergeCell ref="A36:B36"/>
    <mergeCell ref="A37:B37"/>
    <mergeCell ref="A38:B38"/>
    <mergeCell ref="A39:B39"/>
    <mergeCell ref="A3:B3"/>
    <mergeCell ref="A5:B5"/>
    <mergeCell ref="A6:B6"/>
    <mergeCell ref="A7:B7"/>
    <mergeCell ref="A8:B8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Siderite batch experiments</vt:lpstr>
      <vt:lpstr>Siderite flow through exp</vt:lpstr>
      <vt:lpstr>Fe oxidation</vt:lpstr>
      <vt:lpstr>Siderite - oxic dissolution</vt:lpstr>
      <vt:lpstr>Siderite - anoxic dissolution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Josephina Mulders</dc:creator>
  <cp:lastModifiedBy>Josephina Mulders</cp:lastModifiedBy>
  <dcterms:created xsi:type="dcterms:W3CDTF">2021-07-06T19:20:58Z</dcterms:created>
  <dcterms:modified xsi:type="dcterms:W3CDTF">2021-07-06T19:38:32Z</dcterms:modified>
</cp:coreProperties>
</file>