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8800" windowHeight="15680" tabRatio="500" activeTab="1"/>
  </bookViews>
  <sheets>
    <sheet name="Sup Fig 3" sheetId="2" r:id="rId1"/>
    <sheet name="Sup Fig 4" sheetId="4" r:id="rId2"/>
    <sheet name="Sheet1" sheetId="6" r:id="rId3"/>
  </sheets>
  <definedNames>
    <definedName name="M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4" l="1"/>
  <c r="E24" i="4"/>
  <c r="E27" i="4"/>
  <c r="E26" i="4"/>
  <c r="E14" i="4"/>
  <c r="E13" i="4"/>
  <c r="E9" i="4"/>
  <c r="E8" i="4"/>
  <c r="E12" i="4"/>
  <c r="E11" i="4"/>
  <c r="E10" i="4"/>
  <c r="E5" i="4"/>
  <c r="E17" i="4"/>
  <c r="E16" i="4"/>
  <c r="E15" i="4"/>
  <c r="E21" i="4"/>
  <c r="E20" i="4"/>
  <c r="E7" i="4"/>
  <c r="E6" i="4"/>
  <c r="E23" i="4"/>
  <c r="E22" i="4"/>
  <c r="E18" i="4"/>
  <c r="E19" i="4"/>
  <c r="D17" i="2"/>
  <c r="J17" i="2"/>
  <c r="I17" i="2"/>
  <c r="H17" i="2"/>
  <c r="D16" i="2"/>
  <c r="J16" i="2"/>
  <c r="I16" i="2"/>
  <c r="H16" i="2"/>
  <c r="D18" i="2"/>
  <c r="D33" i="2"/>
  <c r="J33" i="2"/>
  <c r="I33" i="2"/>
  <c r="H33" i="2"/>
  <c r="D32" i="2"/>
  <c r="J32" i="2"/>
  <c r="I32" i="2"/>
  <c r="H32" i="2"/>
  <c r="D31" i="2"/>
  <c r="J31" i="2"/>
  <c r="I31" i="2"/>
  <c r="H31" i="2"/>
  <c r="D30" i="2"/>
  <c r="J30" i="2"/>
  <c r="I30" i="2"/>
  <c r="H30" i="2"/>
  <c r="D29" i="2"/>
  <c r="J29" i="2"/>
  <c r="I29" i="2"/>
  <c r="H29" i="2"/>
  <c r="D43" i="2"/>
  <c r="J43" i="2"/>
  <c r="I43" i="2"/>
  <c r="H43" i="2"/>
  <c r="D42" i="2"/>
  <c r="J42" i="2"/>
  <c r="I42" i="2"/>
  <c r="H42" i="2"/>
  <c r="D41" i="2"/>
  <c r="J41" i="2"/>
  <c r="I41" i="2"/>
  <c r="H41" i="2"/>
  <c r="D40" i="2"/>
  <c r="J40" i="2"/>
  <c r="I40" i="2"/>
  <c r="H40" i="2"/>
  <c r="D39" i="2"/>
  <c r="J39" i="2"/>
  <c r="I39" i="2"/>
  <c r="H39" i="2"/>
  <c r="D38" i="2"/>
  <c r="J38" i="2"/>
  <c r="I38" i="2"/>
  <c r="H38" i="2"/>
  <c r="D63" i="2"/>
  <c r="J63" i="2"/>
  <c r="I63" i="2"/>
  <c r="H63" i="2"/>
  <c r="D62" i="2"/>
  <c r="J62" i="2"/>
  <c r="I62" i="2"/>
  <c r="H62" i="2"/>
  <c r="D61" i="2"/>
  <c r="J61" i="2"/>
  <c r="I61" i="2"/>
  <c r="H61" i="2"/>
  <c r="D60" i="2"/>
  <c r="J60" i="2"/>
  <c r="I60" i="2"/>
  <c r="H60" i="2"/>
  <c r="D20" i="2"/>
  <c r="J20" i="2"/>
  <c r="I20" i="2"/>
  <c r="H20" i="2"/>
  <c r="D19" i="2"/>
  <c r="J19" i="2"/>
  <c r="I19" i="2"/>
  <c r="H19" i="2"/>
  <c r="D66" i="2"/>
  <c r="J66" i="2"/>
  <c r="I66" i="2"/>
  <c r="H66" i="2"/>
  <c r="D65" i="2"/>
  <c r="J65" i="2"/>
  <c r="I65" i="2"/>
  <c r="H65" i="2"/>
  <c r="D58" i="2"/>
  <c r="J58" i="2"/>
  <c r="I58" i="2"/>
  <c r="H58" i="2"/>
  <c r="D57" i="2"/>
  <c r="J57" i="2"/>
  <c r="I57" i="2"/>
  <c r="H57" i="2"/>
  <c r="D55" i="2"/>
  <c r="J55" i="2"/>
  <c r="I55" i="2"/>
  <c r="H55" i="2"/>
  <c r="D54" i="2"/>
  <c r="J54" i="2"/>
  <c r="I54" i="2"/>
  <c r="H54" i="2"/>
  <c r="D52" i="2"/>
  <c r="J52" i="2"/>
  <c r="I52" i="2"/>
  <c r="H52" i="2"/>
  <c r="D51" i="2"/>
  <c r="J51" i="2"/>
  <c r="I51" i="2"/>
  <c r="H51" i="2"/>
  <c r="D49" i="2"/>
  <c r="J49" i="2"/>
  <c r="I49" i="2"/>
  <c r="H49" i="2"/>
  <c r="D48" i="2"/>
  <c r="J48" i="2"/>
  <c r="I48" i="2"/>
  <c r="H48" i="2"/>
  <c r="D46" i="2"/>
  <c r="J46" i="2"/>
  <c r="I46" i="2"/>
  <c r="H46" i="2"/>
  <c r="D45" i="2"/>
  <c r="J45" i="2"/>
  <c r="I45" i="2"/>
  <c r="H45" i="2"/>
  <c r="D36" i="2"/>
  <c r="J36" i="2"/>
  <c r="I36" i="2"/>
  <c r="H36" i="2"/>
  <c r="D35" i="2"/>
  <c r="J35" i="2"/>
  <c r="I35" i="2"/>
  <c r="H35" i="2"/>
  <c r="D27" i="2"/>
  <c r="J27" i="2"/>
  <c r="I27" i="2"/>
  <c r="H27" i="2"/>
  <c r="D26" i="2"/>
  <c r="J26" i="2"/>
  <c r="I26" i="2"/>
  <c r="H26" i="2"/>
  <c r="D74" i="2"/>
  <c r="J74" i="2"/>
  <c r="I74" i="2"/>
  <c r="H74" i="2"/>
  <c r="D73" i="2"/>
  <c r="J73" i="2"/>
  <c r="I73" i="2"/>
  <c r="H73" i="2"/>
  <c r="D72" i="2"/>
  <c r="J72" i="2"/>
  <c r="I72" i="2"/>
  <c r="H72" i="2"/>
  <c r="D70" i="2"/>
  <c r="J70" i="2"/>
  <c r="I70" i="2"/>
  <c r="H70" i="2"/>
  <c r="D69" i="2"/>
  <c r="J69" i="2"/>
  <c r="I69" i="2"/>
  <c r="H69" i="2"/>
  <c r="D68" i="2"/>
  <c r="J68" i="2"/>
  <c r="I68" i="2"/>
  <c r="H68" i="2"/>
  <c r="D24" i="2"/>
  <c r="J24" i="2"/>
  <c r="I24" i="2"/>
  <c r="H24" i="2"/>
  <c r="D23" i="2"/>
  <c r="J23" i="2"/>
  <c r="I23" i="2"/>
  <c r="H23" i="2"/>
  <c r="D22" i="2"/>
  <c r="J22" i="2"/>
  <c r="I22" i="2"/>
  <c r="H22" i="2"/>
  <c r="D14" i="2"/>
  <c r="J14" i="2"/>
  <c r="I14" i="2"/>
  <c r="H14" i="2"/>
  <c r="D13" i="2"/>
  <c r="J13" i="2"/>
  <c r="I13" i="2"/>
  <c r="H13" i="2"/>
  <c r="D12" i="2"/>
  <c r="J12" i="2"/>
  <c r="I12" i="2"/>
  <c r="H12" i="2"/>
  <c r="D10" i="2"/>
  <c r="J10" i="2"/>
  <c r="I10" i="2"/>
  <c r="H10" i="2"/>
  <c r="D9" i="2"/>
  <c r="J9" i="2"/>
  <c r="I9" i="2"/>
  <c r="H9" i="2"/>
  <c r="D8" i="2"/>
  <c r="J8" i="2"/>
  <c r="I8" i="2"/>
  <c r="H8" i="2"/>
  <c r="D6" i="2"/>
  <c r="J6" i="2"/>
  <c r="I6" i="2"/>
  <c r="H6" i="2"/>
  <c r="D5" i="2"/>
  <c r="J5" i="2"/>
  <c r="I5" i="2"/>
  <c r="H5" i="2"/>
  <c r="D59" i="2"/>
  <c r="D7" i="2"/>
  <c r="D56" i="2"/>
  <c r="D53" i="2"/>
  <c r="D34" i="2"/>
  <c r="D50" i="2"/>
  <c r="D47" i="2"/>
  <c r="D37" i="2"/>
  <c r="D75" i="2"/>
  <c r="D44" i="2"/>
  <c r="D71" i="2"/>
  <c r="D67" i="2"/>
  <c r="D64" i="2"/>
  <c r="D28" i="2"/>
  <c r="D25" i="2"/>
  <c r="D21" i="2"/>
  <c r="D15" i="2"/>
  <c r="D11" i="2"/>
</calcChain>
</file>

<file path=xl/sharedStrings.xml><?xml version="1.0" encoding="utf-8"?>
<sst xmlns="http://schemas.openxmlformats.org/spreadsheetml/2006/main" count="202" uniqueCount="143">
  <si>
    <t>n</t>
  </si>
  <si>
    <t>%</t>
  </si>
  <si>
    <r>
      <t>P-value</t>
    </r>
    <r>
      <rPr>
        <vertAlign val="superscript"/>
        <sz val="10"/>
        <color theme="0"/>
        <rFont val="Helvetica Light"/>
      </rPr>
      <t>#</t>
    </r>
  </si>
  <si>
    <t>total</t>
  </si>
  <si>
    <t>Histological type</t>
  </si>
  <si>
    <t>Ductal NOS</t>
  </si>
  <si>
    <t>Lobular</t>
  </si>
  <si>
    <t>Metaplastic</t>
  </si>
  <si>
    <t>Grade</t>
  </si>
  <si>
    <t>Mitotic score</t>
  </si>
  <si>
    <t>Nuclear Pleomorphism</t>
  </si>
  <si>
    <t>Tubule score</t>
  </si>
  <si>
    <t>ns</t>
  </si>
  <si>
    <t>Lymph node status</t>
  </si>
  <si>
    <t>Tumour size</t>
  </si>
  <si>
    <t>&lt;2 cm</t>
  </si>
  <si>
    <t>2-5 cm</t>
  </si>
  <si>
    <t>&gt;5 cm</t>
  </si>
  <si>
    <t>Lymphovascular invasion</t>
  </si>
  <si>
    <t>Absent</t>
  </si>
  <si>
    <t>Present</t>
  </si>
  <si>
    <t>Lymphocytic infiltrate</t>
  </si>
  <si>
    <t>Mild</t>
  </si>
  <si>
    <t>Moderate</t>
  </si>
  <si>
    <t>Severe</t>
  </si>
  <si>
    <t>Tumour border</t>
  </si>
  <si>
    <t>infiltrative</t>
  </si>
  <si>
    <t>pushing (&lt;50%)</t>
  </si>
  <si>
    <t>pushing (&gt;50%)</t>
  </si>
  <si>
    <t>Ki67 expression (20% threshold)</t>
  </si>
  <si>
    <t>HER2+</t>
  </si>
  <si>
    <t>TN (basal-like)</t>
  </si>
  <si>
    <t>TN (non-basal)</t>
  </si>
  <si>
    <t>Periostin staining:</t>
  </si>
  <si>
    <t>1-2</t>
  </si>
  <si>
    <t>Yes</t>
  </si>
  <si>
    <t>No</t>
  </si>
  <si>
    <t>negative</t>
  </si>
  <si>
    <t>positive</t>
  </si>
  <si>
    <t>Mixed ducto-lob</t>
  </si>
  <si>
    <t>Mixed (other)</t>
  </si>
  <si>
    <t>Other special types</t>
  </si>
  <si>
    <t>low</t>
  </si>
  <si>
    <t>high</t>
  </si>
  <si>
    <t>Ki67 expression (10% threshold)</t>
  </si>
  <si>
    <t>HR+ (Ki67-high)</t>
  </si>
  <si>
    <t>HR+ (Ki67-low)</t>
  </si>
  <si>
    <t>ER+</t>
  </si>
  <si>
    <t>HR+</t>
  </si>
  <si>
    <t>TN</t>
  </si>
  <si>
    <t>non-TN</t>
  </si>
  <si>
    <t>ER status</t>
  </si>
  <si>
    <t>Hormone receptor status</t>
  </si>
  <si>
    <t>HER2 status</t>
  </si>
  <si>
    <t>TN status</t>
  </si>
  <si>
    <r>
      <t>ER</t>
    </r>
    <r>
      <rPr>
        <vertAlign val="superscript"/>
        <sz val="10"/>
        <rFont val="Helvetica Light"/>
      </rPr>
      <t>_</t>
    </r>
    <r>
      <rPr>
        <sz val="10"/>
        <rFont val="Helvetica Light"/>
      </rPr>
      <t>neg</t>
    </r>
  </si>
  <si>
    <r>
      <t>HR</t>
    </r>
    <r>
      <rPr>
        <vertAlign val="superscript"/>
        <sz val="10"/>
        <rFont val="Helvetica Light"/>
      </rPr>
      <t>_</t>
    </r>
    <r>
      <rPr>
        <sz val="10"/>
        <rFont val="Helvetica Light"/>
      </rPr>
      <t>neg</t>
    </r>
  </si>
  <si>
    <r>
      <t>HER2</t>
    </r>
    <r>
      <rPr>
        <vertAlign val="superscript"/>
        <sz val="10"/>
        <rFont val="Helvetica Light"/>
      </rPr>
      <t>_</t>
    </r>
    <r>
      <rPr>
        <sz val="10"/>
        <rFont val="Helvetica Light"/>
      </rPr>
      <t>neg</t>
    </r>
  </si>
  <si>
    <t>**
0.0021</t>
  </si>
  <si>
    <t>**
0.0039</t>
  </si>
  <si>
    <t>*
0.0127</t>
  </si>
  <si>
    <t>**
0.002</t>
  </si>
  <si>
    <t>**
0.0084</t>
  </si>
  <si>
    <t>**
0.0081</t>
  </si>
  <si>
    <t>***
0.0004</t>
  </si>
  <si>
    <t>neg/weak</t>
  </si>
  <si>
    <r>
      <rPr>
        <i/>
        <vertAlign val="superscript"/>
        <sz val="9"/>
        <color theme="1"/>
        <rFont val="Helvetica Light"/>
      </rPr>
      <t>#</t>
    </r>
    <r>
      <rPr>
        <i/>
        <sz val="9"/>
        <color theme="1"/>
        <rFont val="Helvetica Light"/>
      </rPr>
      <t>Chi-square test</t>
    </r>
  </si>
  <si>
    <t>Age</t>
  </si>
  <si>
    <t>≤50 years</t>
  </si>
  <si>
    <t>&gt;50 years</t>
  </si>
  <si>
    <t>**
0.0046</t>
  </si>
  <si>
    <t>I</t>
  </si>
  <si>
    <t>II</t>
  </si>
  <si>
    <t>III</t>
  </si>
  <si>
    <t>Hazard ratio</t>
  </si>
  <si>
    <t>95% CI</t>
  </si>
  <si>
    <t>Tumour grade</t>
  </si>
  <si>
    <t>Footnotes</t>
  </si>
  <si>
    <t>Events censored were breast cancer-related deaths only</t>
  </si>
  <si>
    <t>Periostin intensity</t>
  </si>
  <si>
    <t>&lt; 0.0001</t>
  </si>
  <si>
    <t>Survival rate</t>
  </si>
  <si>
    <r>
      <t>Negative</t>
    </r>
    <r>
      <rPr>
        <i/>
        <sz val="11"/>
        <color theme="1"/>
        <rFont val="Arial"/>
      </rPr>
      <t/>
    </r>
  </si>
  <si>
    <t>Positive</t>
  </si>
  <si>
    <t>Neg/weak</t>
  </si>
  <si>
    <t>Strong</t>
  </si>
  <si>
    <t>TN = negative for ER, PR and HER2</t>
  </si>
  <si>
    <t>HER2 positivity defined primarily on the basis of CISH data, or IHC 3+ where CISH data not available (refer to materials and methods)</t>
  </si>
  <si>
    <r>
      <t>Overall survival at 25 years post-diagnosis</t>
    </r>
    <r>
      <rPr>
        <b/>
        <vertAlign val="superscript"/>
        <sz val="11"/>
        <color theme="1"/>
        <rFont val="Helvetica Light"/>
      </rPr>
      <t>1</t>
    </r>
  </si>
  <si>
    <r>
      <t>Triple-negative status</t>
    </r>
    <r>
      <rPr>
        <b/>
        <vertAlign val="superscript"/>
        <sz val="11"/>
        <color theme="1"/>
        <rFont val="Helvetica Light"/>
      </rPr>
      <t>4</t>
    </r>
  </si>
  <si>
    <r>
      <rPr>
        <b/>
        <sz val="11"/>
        <color theme="0"/>
        <rFont val="Helvetica"/>
      </rPr>
      <t>Univariate analysis</t>
    </r>
    <r>
      <rPr>
        <b/>
        <sz val="11"/>
        <color theme="0"/>
        <rFont val="Helvetica Light"/>
      </rPr>
      <t xml:space="preserve">
</t>
    </r>
    <r>
      <rPr>
        <b/>
        <sz val="9"/>
        <color theme="0"/>
        <rFont val="Helvetica Light"/>
      </rPr>
      <t>(Gehan-Breslow-Wilcoxon)</t>
    </r>
  </si>
  <si>
    <t>36/91</t>
  </si>
  <si>
    <t>107/328</t>
  </si>
  <si>
    <t>28/71</t>
  </si>
  <si>
    <t>115/345</t>
  </si>
  <si>
    <t>33/133</t>
  </si>
  <si>
    <t>100/325</t>
  </si>
  <si>
    <t>43/100</t>
  </si>
  <si>
    <t>77/210</t>
  </si>
  <si>
    <t>8/60</t>
  </si>
  <si>
    <t>59/157</t>
  </si>
  <si>
    <t>Whole cohort</t>
  </si>
  <si>
    <t>-</t>
  </si>
  <si>
    <t>69/245</t>
  </si>
  <si>
    <t>35/106</t>
  </si>
  <si>
    <t>41/81</t>
  </si>
  <si>
    <r>
      <t>145/</t>
    </r>
    <r>
      <rPr>
        <b/>
        <u/>
        <sz val="11"/>
        <color theme="1"/>
        <rFont val="Helvetica Light"/>
      </rPr>
      <t>432</t>
    </r>
  </si>
  <si>
    <t>no. deaths/ no. patients</t>
  </si>
  <si>
    <t>Mod</t>
  </si>
  <si>
    <t>≤ 1.5 cm</t>
  </si>
  <si>
    <t>&gt; 1.5 cm</t>
  </si>
  <si>
    <t>37/160</t>
  </si>
  <si>
    <t>85/214</t>
  </si>
  <si>
    <t>62/111</t>
  </si>
  <si>
    <t>Negative</t>
  </si>
  <si>
    <t>&gt; 50 years</t>
  </si>
  <si>
    <t>≤ 50 years</t>
  </si>
  <si>
    <t>121/382</t>
  </si>
  <si>
    <t>24/43</t>
  </si>
  <si>
    <t>mod</t>
  </si>
  <si>
    <t>strong</t>
  </si>
  <si>
    <t>High</t>
  </si>
  <si>
    <t>Low</t>
  </si>
  <si>
    <t>1.25 - 4.172</t>
  </si>
  <si>
    <t>1.026 - 1.729</t>
  </si>
  <si>
    <t>1.032 - 3.314</t>
  </si>
  <si>
    <t>0.361 - 3.443</t>
  </si>
  <si>
    <r>
      <t>HER2 status</t>
    </r>
    <r>
      <rPr>
        <b/>
        <vertAlign val="superscript"/>
        <sz val="11"/>
        <rFont val="Helvetica Light"/>
      </rPr>
      <t>2</t>
    </r>
  </si>
  <si>
    <t>As a continuous variable, Periostin intensity remains a significant prognostic indicator in a cox proportional hazards model even with inclusion of lymph node status, tumour size and HER2 status.</t>
  </si>
  <si>
    <t>53/133</t>
  </si>
  <si>
    <t>92/296</t>
  </si>
  <si>
    <t>23/54</t>
  </si>
  <si>
    <t>115/326</t>
  </si>
  <si>
    <r>
      <t>Ki67 expression</t>
    </r>
    <r>
      <rPr>
        <b/>
        <vertAlign val="superscript"/>
        <sz val="11"/>
        <color theme="1"/>
        <rFont val="Helvetica Light"/>
      </rPr>
      <t>5</t>
    </r>
  </si>
  <si>
    <r>
      <rPr>
        <b/>
        <sz val="11"/>
        <color theme="0"/>
        <rFont val="Helvetica"/>
      </rPr>
      <t>Multivariate analysis</t>
    </r>
    <r>
      <rPr>
        <vertAlign val="superscript"/>
        <sz val="11"/>
        <color theme="0"/>
        <rFont val="Helvetica"/>
      </rPr>
      <t>6</t>
    </r>
    <r>
      <rPr>
        <b/>
        <sz val="11"/>
        <color theme="0"/>
        <rFont val="Helvetica Light"/>
      </rPr>
      <t xml:space="preserve">
</t>
    </r>
    <r>
      <rPr>
        <b/>
        <sz val="9"/>
        <color theme="0"/>
        <rFont val="Helvetica Light"/>
      </rPr>
      <t>(Cox proportional-hazards)</t>
    </r>
  </si>
  <si>
    <r>
      <t>Hormone receptor (ER/PR) status</t>
    </r>
    <r>
      <rPr>
        <b/>
        <vertAlign val="superscript"/>
        <sz val="11"/>
        <color theme="1"/>
        <rFont val="Helvetica Light"/>
      </rPr>
      <t>3</t>
    </r>
  </si>
  <si>
    <t>&gt;1% tumour cell oestrogen and/or progesterone receptor posivity qualifies as positive</t>
  </si>
  <si>
    <t>Ki67 threshold was 20% tumour cells stained</t>
  </si>
  <si>
    <t>P value</t>
  </si>
  <si>
    <t>Central scarring/ fibrosis</t>
  </si>
  <si>
    <t>Molecular subgroups</t>
  </si>
  <si>
    <t>Supplementary Fig. 3: Correlation between POSTN expression and clinico-pathologic features</t>
  </si>
  <si>
    <t>Covariates with p&lt;0.01 in univariate analysis were included in the multivariate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</si>
</sst>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0"/>
      <color theme="1"/>
      <name val="Avenir Book"/>
      <family val="2"/>
    </font>
    <font>
      <sz val="10"/>
      <color theme="1"/>
      <name val="Helvetica Light"/>
    </font>
    <font>
      <sz val="10"/>
      <color theme="0"/>
      <name val="Helvetica Light"/>
    </font>
    <font>
      <vertAlign val="superscript"/>
      <sz val="10"/>
      <color theme="0"/>
      <name val="Helvetica Light"/>
    </font>
    <font>
      <sz val="10"/>
      <name val="Helvetica Light"/>
    </font>
    <font>
      <i/>
      <sz val="10"/>
      <color theme="0" tint="-0.249977111117893"/>
      <name val="Helvetica Light"/>
    </font>
    <font>
      <sz val="10"/>
      <color theme="0" tint="-0.249977111117893"/>
      <name val="Helvetica Light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</font>
    <font>
      <b/>
      <sz val="11"/>
      <color rgb="FF3F3F3F"/>
      <name val="Calibri"/>
      <family val="2"/>
      <scheme val="minor"/>
    </font>
    <font>
      <u/>
      <sz val="10"/>
      <color theme="10"/>
      <name val="Avenir Book"/>
      <family val="2"/>
    </font>
    <font>
      <u/>
      <sz val="10"/>
      <color theme="11"/>
      <name val="Avenir Book"/>
      <family val="2"/>
    </font>
    <font>
      <vertAlign val="superscript"/>
      <sz val="10"/>
      <name val="Helvetica Light"/>
    </font>
    <font>
      <b/>
      <sz val="10"/>
      <color theme="0"/>
      <name val="Helvetica"/>
    </font>
    <font>
      <i/>
      <sz val="9"/>
      <color theme="1"/>
      <name val="Helvetica Light"/>
    </font>
    <font>
      <i/>
      <vertAlign val="superscript"/>
      <sz val="9"/>
      <color theme="1"/>
      <name val="Helvetica Light"/>
    </font>
    <font>
      <sz val="12"/>
      <name val="Arial"/>
    </font>
    <font>
      <i/>
      <sz val="11"/>
      <color theme="1"/>
      <name val="Arial"/>
    </font>
    <font>
      <sz val="11"/>
      <color theme="1"/>
      <name val="Helvetica Light"/>
    </font>
    <font>
      <b/>
      <sz val="11"/>
      <color theme="1"/>
      <name val="Helvetica Light"/>
    </font>
    <font>
      <b/>
      <vertAlign val="superscript"/>
      <sz val="11"/>
      <color theme="1"/>
      <name val="Helvetica Light"/>
    </font>
    <font>
      <b/>
      <sz val="11"/>
      <color theme="0"/>
      <name val="Helvetica Light"/>
    </font>
    <font>
      <b/>
      <vertAlign val="superscript"/>
      <sz val="8"/>
      <color theme="1"/>
      <name val="Helvetica Light"/>
    </font>
    <font>
      <b/>
      <sz val="9"/>
      <color theme="0"/>
      <name val="Helvetica Light"/>
    </font>
    <font>
      <b/>
      <i/>
      <sz val="11"/>
      <color theme="1"/>
      <name val="Helvetica"/>
    </font>
    <font>
      <b/>
      <sz val="11"/>
      <color theme="0"/>
      <name val="Helvetica"/>
    </font>
    <font>
      <b/>
      <u/>
      <sz val="11"/>
      <color theme="1"/>
      <name val="Helvetica Light"/>
    </font>
    <font>
      <b/>
      <sz val="11"/>
      <name val="Helvetica Light"/>
    </font>
    <font>
      <b/>
      <i/>
      <sz val="11"/>
      <color theme="1"/>
      <name val="Helvetica Light"/>
    </font>
    <font>
      <b/>
      <vertAlign val="superscript"/>
      <sz val="11"/>
      <name val="Helvetica Light"/>
    </font>
    <font>
      <b/>
      <sz val="9"/>
      <color theme="1"/>
      <name val="Helvetica Light"/>
    </font>
    <font>
      <b/>
      <u/>
      <sz val="9"/>
      <color theme="1"/>
      <name val="Helvetica Light"/>
    </font>
    <font>
      <b/>
      <vertAlign val="superscript"/>
      <sz val="9"/>
      <color theme="1"/>
      <name val="Helvetica Light"/>
    </font>
    <font>
      <vertAlign val="superscript"/>
      <sz val="11"/>
      <color theme="0"/>
      <name val="Helvetica"/>
    </font>
    <font>
      <b/>
      <i/>
      <sz val="11"/>
      <name val="Helvetica"/>
    </font>
    <font>
      <b/>
      <sz val="10"/>
      <color theme="1"/>
      <name val="Helvetica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69">
    <xf numFmtId="0" fontId="0" fillId="0" borderId="0"/>
    <xf numFmtId="0" fontId="7" fillId="2" borderId="0" applyNumberFormat="0" applyBorder="0" applyAlignment="0" applyProtection="0"/>
    <xf numFmtId="0" fontId="8" fillId="0" borderId="0"/>
    <xf numFmtId="0" fontId="9" fillId="0" borderId="0"/>
    <xf numFmtId="0" fontId="10" fillId="0" borderId="0"/>
    <xf numFmtId="0" fontId="9" fillId="0" borderId="0"/>
    <xf numFmtId="0" fontId="11" fillId="3" borderId="1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1">
    <xf numFmtId="0" fontId="0" fillId="0" borderId="0" xfId="0"/>
    <xf numFmtId="0" fontId="2" fillId="4" borderId="0" xfId="0" applyFont="1" applyFill="1" applyAlignment="1"/>
    <xf numFmtId="0" fontId="2" fillId="4" borderId="0" xfId="0" applyFont="1" applyFill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2" fillId="4" borderId="4" xfId="0" applyFont="1" applyFill="1" applyBorder="1" applyAlignment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4" fillId="5" borderId="2" xfId="0" applyFont="1" applyFill="1" applyBorder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0" fontId="6" fillId="5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right" vertical="center"/>
    </xf>
    <xf numFmtId="0" fontId="1" fillId="5" borderId="5" xfId="0" applyFont="1" applyFill="1" applyBorder="1" applyAlignment="1">
      <alignment vertical="center"/>
    </xf>
    <xf numFmtId="0" fontId="15" fillId="4" borderId="9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5" borderId="5" xfId="0" applyNumberFormat="1" applyFont="1" applyFill="1" applyBorder="1" applyAlignment="1">
      <alignment vertical="center"/>
    </xf>
    <xf numFmtId="164" fontId="4" fillId="5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4" fontId="4" fillId="0" borderId="5" xfId="0" applyNumberFormat="1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1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2" fontId="21" fillId="0" borderId="0" xfId="0" applyNumberFormat="1" applyFont="1" applyBorder="1" applyAlignment="1">
      <alignment horizontal="right" vertical="center"/>
    </xf>
    <xf numFmtId="49" fontId="21" fillId="0" borderId="14" xfId="0" applyNumberFormat="1" applyFont="1" applyBorder="1" applyAlignment="1">
      <alignment horizontal="right" vertical="center"/>
    </xf>
    <xf numFmtId="1" fontId="4" fillId="5" borderId="5" xfId="0" applyNumberFormat="1" applyFont="1" applyFill="1" applyBorder="1" applyAlignment="1">
      <alignment vertical="center"/>
    </xf>
    <xf numFmtId="1" fontId="4" fillId="5" borderId="0" xfId="0" applyNumberFormat="1" applyFont="1" applyFill="1" applyAlignment="1">
      <alignment vertical="center"/>
    </xf>
    <xf numFmtId="49" fontId="21" fillId="0" borderId="16" xfId="0" applyNumberFormat="1" applyFont="1" applyBorder="1" applyAlignment="1">
      <alignment horizontal="right" vertical="center"/>
    </xf>
    <xf numFmtId="2" fontId="20" fillId="0" borderId="17" xfId="0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center" vertical="center" wrapText="1"/>
    </xf>
    <xf numFmtId="0" fontId="21" fillId="5" borderId="0" xfId="0" applyFont="1" applyFill="1" applyBorder="1" applyAlignment="1">
      <alignment vertical="center"/>
    </xf>
    <xf numFmtId="49" fontId="21" fillId="5" borderId="14" xfId="0" applyNumberFormat="1" applyFont="1" applyFill="1" applyBorder="1" applyAlignment="1">
      <alignment horizontal="right" vertical="center"/>
    </xf>
    <xf numFmtId="2" fontId="21" fillId="5" borderId="0" xfId="0" applyNumberFormat="1" applyFont="1" applyFill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49" fontId="21" fillId="0" borderId="19" xfId="0" applyNumberFormat="1" applyFont="1" applyBorder="1" applyAlignment="1">
      <alignment horizontal="right" vertical="center"/>
    </xf>
    <xf numFmtId="2" fontId="21" fillId="0" borderId="3" xfId="0" applyNumberFormat="1" applyFont="1" applyBorder="1" applyAlignment="1">
      <alignment horizontal="right" vertical="center"/>
    </xf>
    <xf numFmtId="0" fontId="29" fillId="5" borderId="0" xfId="0" applyFont="1" applyFill="1" applyBorder="1" applyAlignment="1">
      <alignment vertical="center"/>
    </xf>
    <xf numFmtId="49" fontId="29" fillId="5" borderId="14" xfId="0" applyNumberFormat="1" applyFont="1" applyFill="1" applyBorder="1" applyAlignment="1">
      <alignment horizontal="right" vertical="center"/>
    </xf>
    <xf numFmtId="2" fontId="29" fillId="5" borderId="0" xfId="0" applyNumberFormat="1" applyFont="1" applyFill="1" applyBorder="1" applyAlignment="1">
      <alignment horizontal="right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37" fillId="0" borderId="0" xfId="0" applyFont="1" applyFill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right" vertical="center"/>
    </xf>
    <xf numFmtId="0" fontId="23" fillId="6" borderId="11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6" fillId="0" borderId="15" xfId="0" applyFont="1" applyFill="1" applyBorder="1" applyAlignment="1">
      <alignment horizontal="right" vertical="center"/>
    </xf>
    <xf numFmtId="0" fontId="21" fillId="5" borderId="0" xfId="0" applyFont="1" applyFill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5" borderId="14" xfId="0" applyFont="1" applyFill="1" applyBorder="1" applyAlignment="1">
      <alignment horizontal="right" vertical="center"/>
    </xf>
    <xf numFmtId="0" fontId="21" fillId="5" borderId="15" xfId="0" applyFont="1" applyFill="1" applyBorder="1" applyAlignment="1">
      <alignment horizontal="right" vertical="center"/>
    </xf>
    <xf numFmtId="0" fontId="30" fillId="5" borderId="15" xfId="0" applyFont="1" applyFill="1" applyBorder="1" applyAlignment="1">
      <alignment horizontal="right" vertical="center"/>
    </xf>
    <xf numFmtId="0" fontId="29" fillId="5" borderId="14" xfId="0" applyFont="1" applyFill="1" applyBorder="1" applyAlignment="1">
      <alignment horizontal="right" vertical="center"/>
    </xf>
    <xf numFmtId="0" fontId="21" fillId="5" borderId="14" xfId="0" applyFont="1" applyFill="1" applyBorder="1" applyAlignment="1">
      <alignment horizontal="center" vertical="center"/>
    </xf>
    <xf numFmtId="0" fontId="36" fillId="5" borderId="15" xfId="0" applyFont="1" applyFill="1" applyBorder="1" applyAlignment="1">
      <alignment horizontal="right" vertical="center"/>
    </xf>
    <xf numFmtId="0" fontId="26" fillId="5" borderId="15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21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left" vertical="center" wrapText="1"/>
    </xf>
    <xf numFmtId="0" fontId="30" fillId="0" borderId="15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 wrapText="1"/>
    </xf>
    <xf numFmtId="0" fontId="21" fillId="5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30" fillId="0" borderId="20" xfId="0" applyFont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</cellXfs>
  <cellStyles count="269"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Good 2" xfId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Normal" xfId="0" builtinId="0"/>
    <cellStyle name="Normal 2" xfId="2"/>
    <cellStyle name="Normal 2 2" xfId="3"/>
    <cellStyle name="Normal 3" xfId="4"/>
    <cellStyle name="Normal 4" xfId="5"/>
    <cellStyle name="Output 2" xfId="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249977111117893"/>
  </sheetPr>
  <dimension ref="B1:K76"/>
  <sheetViews>
    <sheetView zoomScale="125" zoomScaleNormal="125" zoomScalePageLayoutView="125" workbookViewId="0">
      <selection activeCell="H41" sqref="H41"/>
    </sheetView>
  </sheetViews>
  <sheetFormatPr baseColWidth="10" defaultColWidth="10.83203125" defaultRowHeight="11" x14ac:dyDescent="0"/>
  <cols>
    <col min="1" max="1" width="4.5" style="3" customWidth="1"/>
    <col min="2" max="2" width="14.83203125" style="4" customWidth="1"/>
    <col min="3" max="3" width="16.83203125" style="3" customWidth="1"/>
    <col min="4" max="4" width="7.1640625" style="3" customWidth="1"/>
    <col min="5" max="5" width="8.83203125" style="3" customWidth="1"/>
    <col min="6" max="7" width="7.83203125" style="3" customWidth="1"/>
    <col min="8" max="8" width="9.5" style="3" customWidth="1"/>
    <col min="9" max="10" width="7.83203125" style="3" customWidth="1"/>
    <col min="11" max="11" width="13.6640625" style="5" customWidth="1"/>
    <col min="12" max="12" width="5" style="3" customWidth="1"/>
    <col min="13" max="16384" width="10.83203125" style="3"/>
  </cols>
  <sheetData>
    <row r="1" spans="2:11" ht="24" customHeight="1">
      <c r="B1" s="73" t="s">
        <v>141</v>
      </c>
    </row>
    <row r="3" spans="2:11" ht="17" customHeight="1">
      <c r="B3" s="78" t="s">
        <v>33</v>
      </c>
      <c r="C3" s="1"/>
      <c r="D3" s="13"/>
      <c r="E3" s="74" t="s">
        <v>0</v>
      </c>
      <c r="F3" s="75"/>
      <c r="G3" s="75"/>
      <c r="H3" s="74" t="s">
        <v>1</v>
      </c>
      <c r="I3" s="75"/>
      <c r="J3" s="75"/>
      <c r="K3" s="86" t="s">
        <v>2</v>
      </c>
    </row>
    <row r="4" spans="2:11" ht="18" customHeight="1">
      <c r="B4" s="78"/>
      <c r="C4" s="2"/>
      <c r="D4" s="6" t="s">
        <v>3</v>
      </c>
      <c r="E4" s="27" t="s">
        <v>65</v>
      </c>
      <c r="F4" s="6" t="s">
        <v>119</v>
      </c>
      <c r="G4" s="6" t="s">
        <v>120</v>
      </c>
      <c r="H4" s="27" t="s">
        <v>65</v>
      </c>
      <c r="I4" s="6" t="s">
        <v>119</v>
      </c>
      <c r="J4" s="6" t="s">
        <v>120</v>
      </c>
      <c r="K4" s="87"/>
    </row>
    <row r="5" spans="2:11" ht="12" customHeight="1">
      <c r="B5" s="79" t="s">
        <v>53</v>
      </c>
      <c r="C5" s="7" t="s">
        <v>30</v>
      </c>
      <c r="D5" s="8">
        <f>SUM(E5:G5)</f>
        <v>43</v>
      </c>
      <c r="E5" s="22">
        <v>13</v>
      </c>
      <c r="F5" s="9">
        <v>14</v>
      </c>
      <c r="G5" s="9">
        <v>16</v>
      </c>
      <c r="H5" s="28">
        <f>E5/D5*100</f>
        <v>30.232558139534881</v>
      </c>
      <c r="I5" s="29">
        <f>F5/D5*100</f>
        <v>32.558139534883722</v>
      </c>
      <c r="J5" s="29">
        <f>G5/D5*100</f>
        <v>37.209302325581397</v>
      </c>
      <c r="K5" s="76" t="s">
        <v>64</v>
      </c>
    </row>
    <row r="6" spans="2:11" ht="12" customHeight="1">
      <c r="B6" s="79"/>
      <c r="C6" s="7" t="s">
        <v>57</v>
      </c>
      <c r="D6" s="10">
        <f>SUM(E6:G6)</f>
        <v>398</v>
      </c>
      <c r="E6" s="22">
        <v>236</v>
      </c>
      <c r="F6" s="9">
        <v>96</v>
      </c>
      <c r="G6" s="9">
        <v>66</v>
      </c>
      <c r="H6" s="28">
        <f>E6/D6*100</f>
        <v>59.2964824120603</v>
      </c>
      <c r="I6" s="29">
        <f>F6/D6*100</f>
        <v>24.120603015075375</v>
      </c>
      <c r="J6" s="29">
        <f>G6/D6*100</f>
        <v>16.582914572864322</v>
      </c>
      <c r="K6" s="76"/>
    </row>
    <row r="7" spans="2:11" ht="12" customHeight="1">
      <c r="B7" s="79"/>
      <c r="C7" s="11" t="s">
        <v>0</v>
      </c>
      <c r="D7" s="12">
        <f>SUM(D5:D6)</f>
        <v>441</v>
      </c>
      <c r="E7" s="23"/>
      <c r="H7" s="23"/>
      <c r="K7" s="76"/>
    </row>
    <row r="8" spans="2:11" ht="12" customHeight="1">
      <c r="B8" s="81" t="s">
        <v>8</v>
      </c>
      <c r="C8" s="14" t="s">
        <v>71</v>
      </c>
      <c r="D8" s="15">
        <f>SUM(E8:G8)</f>
        <v>63</v>
      </c>
      <c r="E8" s="24">
        <v>44</v>
      </c>
      <c r="F8" s="16">
        <v>15</v>
      </c>
      <c r="G8" s="16">
        <v>4</v>
      </c>
      <c r="H8" s="30">
        <f>E8/D8*100</f>
        <v>69.841269841269835</v>
      </c>
      <c r="I8" s="31">
        <f>F8/D8*100</f>
        <v>23.809523809523807</v>
      </c>
      <c r="J8" s="31">
        <f>G8/D8*100</f>
        <v>6.3492063492063489</v>
      </c>
      <c r="K8" s="88" t="s">
        <v>58</v>
      </c>
    </row>
    <row r="9" spans="2:11" ht="12" customHeight="1">
      <c r="B9" s="81"/>
      <c r="C9" s="14" t="s">
        <v>72</v>
      </c>
      <c r="D9" s="15">
        <f>SUM(E9:G9)</f>
        <v>220</v>
      </c>
      <c r="E9" s="24">
        <v>128</v>
      </c>
      <c r="F9" s="16">
        <v>58</v>
      </c>
      <c r="G9" s="16">
        <v>34</v>
      </c>
      <c r="H9" s="30">
        <f>E9/D9*100</f>
        <v>58.18181818181818</v>
      </c>
      <c r="I9" s="31">
        <f>F9/D9*100</f>
        <v>26.36363636363636</v>
      </c>
      <c r="J9" s="31">
        <f>G9/D9*100</f>
        <v>15.454545454545453</v>
      </c>
      <c r="K9" s="88"/>
    </row>
    <row r="10" spans="2:11" ht="12" customHeight="1">
      <c r="B10" s="81"/>
      <c r="C10" s="14" t="s">
        <v>73</v>
      </c>
      <c r="D10" s="17">
        <f>SUM(E10:G10)</f>
        <v>161</v>
      </c>
      <c r="E10" s="24">
        <v>80</v>
      </c>
      <c r="F10" s="16">
        <v>37</v>
      </c>
      <c r="G10" s="16">
        <v>44</v>
      </c>
      <c r="H10" s="30">
        <f>E10/D10*100</f>
        <v>49.689440993788821</v>
      </c>
      <c r="I10" s="31">
        <f>F10/D10*100</f>
        <v>22.981366459627328</v>
      </c>
      <c r="J10" s="31">
        <f>G10/D10*100</f>
        <v>27.329192546583851</v>
      </c>
      <c r="K10" s="88"/>
    </row>
    <row r="11" spans="2:11" ht="12" customHeight="1">
      <c r="B11" s="81"/>
      <c r="C11" s="18" t="s">
        <v>0</v>
      </c>
      <c r="D11" s="19">
        <f>SUM(D8:D10)</f>
        <v>444</v>
      </c>
      <c r="E11" s="25"/>
      <c r="F11" s="16"/>
      <c r="G11" s="16"/>
      <c r="H11" s="24"/>
      <c r="I11" s="16"/>
      <c r="J11" s="16"/>
      <c r="K11" s="88"/>
    </row>
    <row r="12" spans="2:11" ht="12" customHeight="1">
      <c r="B12" s="82" t="s">
        <v>9</v>
      </c>
      <c r="C12" s="7">
        <v>1</v>
      </c>
      <c r="D12" s="8">
        <f>SUM(E12:G12)</f>
        <v>260</v>
      </c>
      <c r="E12" s="22">
        <v>161</v>
      </c>
      <c r="F12" s="9">
        <v>66</v>
      </c>
      <c r="G12" s="9">
        <v>33</v>
      </c>
      <c r="H12" s="28">
        <f>E12/D12*100</f>
        <v>61.923076923076927</v>
      </c>
      <c r="I12" s="29">
        <f>F12/D12*100</f>
        <v>25.384615384615383</v>
      </c>
      <c r="J12" s="29">
        <f>G12/D12*100</f>
        <v>12.692307692307692</v>
      </c>
      <c r="K12" s="89" t="s">
        <v>59</v>
      </c>
    </row>
    <row r="13" spans="2:11" ht="12" customHeight="1">
      <c r="B13" s="82"/>
      <c r="C13" s="7">
        <v>2</v>
      </c>
      <c r="D13" s="8">
        <f>SUM(E13:G13)</f>
        <v>58</v>
      </c>
      <c r="E13" s="22">
        <v>26</v>
      </c>
      <c r="F13" s="9">
        <v>16</v>
      </c>
      <c r="G13" s="9">
        <v>16</v>
      </c>
      <c r="H13" s="28">
        <f>E13/D13*100</f>
        <v>44.827586206896555</v>
      </c>
      <c r="I13" s="29">
        <f>F13/D13*100</f>
        <v>27.586206896551722</v>
      </c>
      <c r="J13" s="29">
        <f>G13/D13*100</f>
        <v>27.586206896551722</v>
      </c>
      <c r="K13" s="89"/>
    </row>
    <row r="14" spans="2:11" ht="12" customHeight="1">
      <c r="B14" s="82"/>
      <c r="C14" s="7">
        <v>3</v>
      </c>
      <c r="D14" s="10">
        <f>SUM(E14:G14)</f>
        <v>125</v>
      </c>
      <c r="E14" s="22">
        <v>64</v>
      </c>
      <c r="F14" s="9">
        <v>28</v>
      </c>
      <c r="G14" s="9">
        <v>33</v>
      </c>
      <c r="H14" s="28">
        <f>E14/D14*100</f>
        <v>51.2</v>
      </c>
      <c r="I14" s="29">
        <f>F14/D14*100</f>
        <v>22.400000000000002</v>
      </c>
      <c r="J14" s="29">
        <f>G14/D14*100</f>
        <v>26.400000000000002</v>
      </c>
      <c r="K14" s="89"/>
    </row>
    <row r="15" spans="2:11" ht="12" customHeight="1">
      <c r="B15" s="82"/>
      <c r="C15" s="11" t="s">
        <v>0</v>
      </c>
      <c r="D15" s="12">
        <f>SUM(D12:D14)</f>
        <v>443</v>
      </c>
      <c r="E15" s="22"/>
      <c r="F15" s="9"/>
      <c r="G15" s="9"/>
      <c r="H15" s="22"/>
      <c r="I15" s="9"/>
      <c r="J15" s="9"/>
      <c r="K15" s="89"/>
    </row>
    <row r="16" spans="2:11" ht="12" customHeight="1">
      <c r="B16" s="80" t="s">
        <v>67</v>
      </c>
      <c r="C16" s="14" t="s">
        <v>68</v>
      </c>
      <c r="D16" s="15">
        <f>SUM(E16:G16)</f>
        <v>132</v>
      </c>
      <c r="E16" s="24">
        <v>60</v>
      </c>
      <c r="F16" s="16">
        <v>41</v>
      </c>
      <c r="G16" s="16">
        <v>31</v>
      </c>
      <c r="H16" s="30">
        <f>E16/D16*100</f>
        <v>45.454545454545453</v>
      </c>
      <c r="I16" s="31">
        <f>F16/D16*100</f>
        <v>31.060606060606062</v>
      </c>
      <c r="J16" s="31">
        <f>G16/D16*100</f>
        <v>23.484848484848484</v>
      </c>
      <c r="K16" s="83" t="s">
        <v>70</v>
      </c>
    </row>
    <row r="17" spans="2:11" ht="12" customHeight="1">
      <c r="B17" s="80"/>
      <c r="C17" s="14" t="s">
        <v>69</v>
      </c>
      <c r="D17" s="17">
        <f>SUM(E17:G17)</f>
        <v>298</v>
      </c>
      <c r="E17" s="24">
        <v>186</v>
      </c>
      <c r="F17" s="16">
        <v>65</v>
      </c>
      <c r="G17" s="16">
        <v>47</v>
      </c>
      <c r="H17" s="30">
        <f>E17/D17*100</f>
        <v>62.416107382550337</v>
      </c>
      <c r="I17" s="31">
        <f>F17/D17*100</f>
        <v>21.812080536912752</v>
      </c>
      <c r="J17" s="31">
        <f>G17/D17*100</f>
        <v>15.771812080536913</v>
      </c>
      <c r="K17" s="83"/>
    </row>
    <row r="18" spans="2:11" ht="12" customHeight="1">
      <c r="B18" s="80"/>
      <c r="C18" s="18"/>
      <c r="D18" s="19">
        <f>SUM(D16:D17)</f>
        <v>430</v>
      </c>
      <c r="E18" s="24"/>
      <c r="F18" s="16"/>
      <c r="G18" s="16"/>
      <c r="H18" s="24"/>
      <c r="I18" s="16"/>
      <c r="J18" s="16"/>
      <c r="K18" s="83"/>
    </row>
    <row r="19" spans="2:11" ht="12" customHeight="1">
      <c r="B19" s="79" t="s">
        <v>10</v>
      </c>
      <c r="C19" s="32" t="s">
        <v>34</v>
      </c>
      <c r="D19" s="8">
        <f>SUM(E19:G19)</f>
        <v>235</v>
      </c>
      <c r="E19" s="33">
        <v>148</v>
      </c>
      <c r="F19" s="34">
        <v>53</v>
      </c>
      <c r="G19" s="34">
        <v>34</v>
      </c>
      <c r="H19" s="35">
        <f>E19/D19*100</f>
        <v>62.978723404255319</v>
      </c>
      <c r="I19" s="36">
        <f>F19/D19*100</f>
        <v>22.553191489361701</v>
      </c>
      <c r="J19" s="36">
        <f>G19/D19*100</f>
        <v>14.468085106382977</v>
      </c>
      <c r="K19" s="76" t="s">
        <v>60</v>
      </c>
    </row>
    <row r="20" spans="2:11" ht="12" customHeight="1">
      <c r="B20" s="79"/>
      <c r="C20" s="32">
        <v>3</v>
      </c>
      <c r="D20" s="10">
        <f>SUM(E20:G20)</f>
        <v>209</v>
      </c>
      <c r="E20" s="33">
        <v>104</v>
      </c>
      <c r="F20" s="34">
        <v>57</v>
      </c>
      <c r="G20" s="34">
        <v>48</v>
      </c>
      <c r="H20" s="35">
        <f>E20/D20*100</f>
        <v>49.760765550239235</v>
      </c>
      <c r="I20" s="36">
        <f>F20/D20*100</f>
        <v>27.27272727272727</v>
      </c>
      <c r="J20" s="36">
        <f>G20/D20*100</f>
        <v>22.966507177033492</v>
      </c>
      <c r="K20" s="76"/>
    </row>
    <row r="21" spans="2:11" ht="12" customHeight="1">
      <c r="B21" s="79"/>
      <c r="C21" s="11" t="s">
        <v>0</v>
      </c>
      <c r="D21" s="12">
        <f>SUM(D19:D20)</f>
        <v>444</v>
      </c>
      <c r="E21" s="33"/>
      <c r="F21" s="34"/>
      <c r="G21" s="34"/>
      <c r="H21" s="33"/>
      <c r="I21" s="34"/>
      <c r="J21" s="34"/>
      <c r="K21" s="76"/>
    </row>
    <row r="22" spans="2:11" ht="12" customHeight="1">
      <c r="B22" s="80" t="s">
        <v>11</v>
      </c>
      <c r="C22" s="14">
        <v>1</v>
      </c>
      <c r="D22" s="15">
        <f>SUM(E22:G22)</f>
        <v>13</v>
      </c>
      <c r="E22" s="24">
        <v>9</v>
      </c>
      <c r="F22" s="16">
        <v>3</v>
      </c>
      <c r="G22" s="16">
        <v>1</v>
      </c>
      <c r="H22" s="30">
        <f>E22/D22*100</f>
        <v>69.230769230769226</v>
      </c>
      <c r="I22" s="31">
        <f>F22/D22*100</f>
        <v>23.076923076923077</v>
      </c>
      <c r="J22" s="31">
        <f>G22/D22*100</f>
        <v>7.6923076923076925</v>
      </c>
      <c r="K22" s="85" t="s">
        <v>12</v>
      </c>
    </row>
    <row r="23" spans="2:11" ht="12" customHeight="1">
      <c r="B23" s="80"/>
      <c r="C23" s="14">
        <v>2</v>
      </c>
      <c r="D23" s="15">
        <f>SUM(E23:G23)</f>
        <v>83</v>
      </c>
      <c r="E23" s="24">
        <v>55</v>
      </c>
      <c r="F23" s="16">
        <v>21</v>
      </c>
      <c r="G23" s="16">
        <v>7</v>
      </c>
      <c r="H23" s="30">
        <f>E23/D23*100</f>
        <v>66.265060240963862</v>
      </c>
      <c r="I23" s="31">
        <f>F23/D23*100</f>
        <v>25.301204819277107</v>
      </c>
      <c r="J23" s="31">
        <f>G23/D23*100</f>
        <v>8.4337349397590362</v>
      </c>
      <c r="K23" s="85"/>
    </row>
    <row r="24" spans="2:11" ht="12" customHeight="1">
      <c r="B24" s="80"/>
      <c r="C24" s="14">
        <v>3</v>
      </c>
      <c r="D24" s="17">
        <f>SUM(E24:G24)</f>
        <v>348</v>
      </c>
      <c r="E24" s="24">
        <v>188</v>
      </c>
      <c r="F24" s="16">
        <v>86</v>
      </c>
      <c r="G24" s="16">
        <v>74</v>
      </c>
      <c r="H24" s="30">
        <f>E24/D24*100</f>
        <v>54.022988505747129</v>
      </c>
      <c r="I24" s="31">
        <f>F24/D24*100</f>
        <v>24.712643678160919</v>
      </c>
      <c r="J24" s="31">
        <f>G24/D24*100</f>
        <v>21.264367816091951</v>
      </c>
      <c r="K24" s="85"/>
    </row>
    <row r="25" spans="2:11" ht="12" customHeight="1">
      <c r="B25" s="80"/>
      <c r="C25" s="18" t="s">
        <v>0</v>
      </c>
      <c r="D25" s="19">
        <f>SUM(D22:D24)</f>
        <v>444</v>
      </c>
      <c r="E25" s="24"/>
      <c r="F25" s="16"/>
      <c r="G25" s="16"/>
      <c r="H25" s="24"/>
      <c r="I25" s="16"/>
      <c r="J25" s="16"/>
      <c r="K25" s="85"/>
    </row>
    <row r="26" spans="2:11" ht="12" customHeight="1">
      <c r="B26" s="79" t="s">
        <v>18</v>
      </c>
      <c r="C26" s="32" t="s">
        <v>35</v>
      </c>
      <c r="D26" s="8">
        <f>SUM(E26:G26)</f>
        <v>103</v>
      </c>
      <c r="E26" s="33">
        <v>45</v>
      </c>
      <c r="F26" s="34">
        <v>38</v>
      </c>
      <c r="G26" s="34">
        <v>20</v>
      </c>
      <c r="H26" s="35">
        <f>E26/D26*100</f>
        <v>43.689320388349515</v>
      </c>
      <c r="I26" s="36">
        <f>F26/D26*100</f>
        <v>36.893203883495147</v>
      </c>
      <c r="J26" s="36">
        <f>G26/D26*100</f>
        <v>19.417475728155338</v>
      </c>
      <c r="K26" s="76" t="s">
        <v>61</v>
      </c>
    </row>
    <row r="27" spans="2:11" ht="12" customHeight="1">
      <c r="B27" s="79"/>
      <c r="C27" s="32" t="s">
        <v>36</v>
      </c>
      <c r="D27" s="10">
        <f>SUM(E27:G27)</f>
        <v>344</v>
      </c>
      <c r="E27" s="33">
        <v>210</v>
      </c>
      <c r="F27" s="34">
        <v>72</v>
      </c>
      <c r="G27" s="34">
        <v>62</v>
      </c>
      <c r="H27" s="35">
        <f>E27/D27*100</f>
        <v>61.046511627906973</v>
      </c>
      <c r="I27" s="36">
        <f>F27/D27*100</f>
        <v>20.930232558139537</v>
      </c>
      <c r="J27" s="36">
        <f>G27/D27*100</f>
        <v>18.023255813953487</v>
      </c>
      <c r="K27" s="76"/>
    </row>
    <row r="28" spans="2:11" ht="12" customHeight="1">
      <c r="B28" s="79"/>
      <c r="C28" s="11" t="s">
        <v>0</v>
      </c>
      <c r="D28" s="12">
        <f>SUM(D26:D27)</f>
        <v>447</v>
      </c>
      <c r="E28" s="37"/>
      <c r="F28" s="4"/>
      <c r="G28" s="4"/>
      <c r="H28" s="37"/>
      <c r="I28" s="4"/>
      <c r="J28" s="4"/>
      <c r="K28" s="76"/>
    </row>
    <row r="29" spans="2:11" ht="12" customHeight="1">
      <c r="B29" s="92" t="s">
        <v>140</v>
      </c>
      <c r="C29" s="14" t="s">
        <v>30</v>
      </c>
      <c r="D29" s="15">
        <f>SUM(E29:G29)</f>
        <v>43</v>
      </c>
      <c r="E29" s="24">
        <v>13</v>
      </c>
      <c r="F29" s="16">
        <v>14</v>
      </c>
      <c r="G29" s="16">
        <v>16</v>
      </c>
      <c r="H29" s="30">
        <f>E29/D29*100</f>
        <v>30.232558139534881</v>
      </c>
      <c r="I29" s="31">
        <f>F29/D29*100</f>
        <v>32.558139534883722</v>
      </c>
      <c r="J29" s="31">
        <f>G29/D29*100</f>
        <v>37.209302325581397</v>
      </c>
      <c r="K29" s="83" t="s">
        <v>63</v>
      </c>
    </row>
    <row r="30" spans="2:11" ht="12" customHeight="1">
      <c r="B30" s="92"/>
      <c r="C30" s="14" t="s">
        <v>45</v>
      </c>
      <c r="D30" s="15">
        <f>SUM(E30:G30)</f>
        <v>25</v>
      </c>
      <c r="E30" s="24">
        <v>13</v>
      </c>
      <c r="F30" s="16">
        <v>8</v>
      </c>
      <c r="G30" s="16">
        <v>4</v>
      </c>
      <c r="H30" s="30">
        <f>E30/D30*100</f>
        <v>52</v>
      </c>
      <c r="I30" s="31">
        <f>F30/D30*100</f>
        <v>32</v>
      </c>
      <c r="J30" s="31">
        <f>G30/D30*100</f>
        <v>16</v>
      </c>
      <c r="K30" s="83"/>
    </row>
    <row r="31" spans="2:11" ht="12" customHeight="1">
      <c r="B31" s="92"/>
      <c r="C31" s="14" t="s">
        <v>46</v>
      </c>
      <c r="D31" s="15">
        <f>SUM(E31:G31)</f>
        <v>263</v>
      </c>
      <c r="E31" s="24">
        <v>144</v>
      </c>
      <c r="F31" s="16">
        <v>72</v>
      </c>
      <c r="G31" s="16">
        <v>47</v>
      </c>
      <c r="H31" s="30">
        <f>E31/D31*100</f>
        <v>54.752851711026615</v>
      </c>
      <c r="I31" s="31">
        <f>F31/D31*100</f>
        <v>27.376425855513308</v>
      </c>
      <c r="J31" s="31">
        <f>G31/D31*100</f>
        <v>17.870722433460077</v>
      </c>
      <c r="K31" s="83"/>
    </row>
    <row r="32" spans="2:11" ht="12" customHeight="1">
      <c r="B32" s="92"/>
      <c r="C32" s="14" t="s">
        <v>31</v>
      </c>
      <c r="D32" s="15">
        <f>SUM(E32:G32)</f>
        <v>56</v>
      </c>
      <c r="E32" s="24">
        <v>39</v>
      </c>
      <c r="F32" s="16">
        <v>8</v>
      </c>
      <c r="G32" s="16">
        <v>9</v>
      </c>
      <c r="H32" s="30">
        <f>E32/D32*100</f>
        <v>69.642857142857139</v>
      </c>
      <c r="I32" s="31">
        <f>F32/D32*100</f>
        <v>14.285714285714285</v>
      </c>
      <c r="J32" s="31">
        <f>G32/D32*100</f>
        <v>16.071428571428573</v>
      </c>
      <c r="K32" s="83"/>
    </row>
    <row r="33" spans="2:11" ht="12" customHeight="1">
      <c r="B33" s="92"/>
      <c r="C33" s="14" t="s">
        <v>32</v>
      </c>
      <c r="D33" s="17">
        <f>SUM(E33:G33)</f>
        <v>14</v>
      </c>
      <c r="E33" s="24">
        <v>5</v>
      </c>
      <c r="F33" s="16">
        <v>5</v>
      </c>
      <c r="G33" s="16">
        <v>4</v>
      </c>
      <c r="H33" s="30">
        <f>E33/D33*100</f>
        <v>35.714285714285715</v>
      </c>
      <c r="I33" s="31">
        <f>F33/D33*100</f>
        <v>35.714285714285715</v>
      </c>
      <c r="J33" s="31">
        <f>G33/D33*100</f>
        <v>28.571428571428569</v>
      </c>
      <c r="K33" s="83"/>
    </row>
    <row r="34" spans="2:11" ht="12" customHeight="1">
      <c r="B34" s="92"/>
      <c r="C34" s="18" t="s">
        <v>0</v>
      </c>
      <c r="D34" s="19">
        <f>SUM(D29:D33)</f>
        <v>401</v>
      </c>
      <c r="E34" s="26"/>
      <c r="F34" s="20"/>
      <c r="G34" s="20"/>
      <c r="H34" s="26"/>
      <c r="I34" s="20"/>
      <c r="J34" s="20"/>
      <c r="K34" s="83"/>
    </row>
    <row r="35" spans="2:11" ht="12" customHeight="1">
      <c r="B35" s="79" t="s">
        <v>139</v>
      </c>
      <c r="C35" s="32" t="s">
        <v>19</v>
      </c>
      <c r="D35" s="8">
        <f>SUM(E35:G35)</f>
        <v>362</v>
      </c>
      <c r="E35" s="33">
        <v>232</v>
      </c>
      <c r="F35" s="34">
        <v>98</v>
      </c>
      <c r="G35" s="34">
        <v>32</v>
      </c>
      <c r="H35" s="35">
        <f>E35/D35*100</f>
        <v>64.088397790055254</v>
      </c>
      <c r="I35" s="36">
        <f>F35/D35*100</f>
        <v>27.071823204419886</v>
      </c>
      <c r="J35" s="36">
        <f>G35/D35*100</f>
        <v>8.8397790055248606</v>
      </c>
      <c r="K35" s="76" t="s">
        <v>62</v>
      </c>
    </row>
    <row r="36" spans="2:11" ht="12" customHeight="1">
      <c r="B36" s="79"/>
      <c r="C36" s="32" t="s">
        <v>20</v>
      </c>
      <c r="D36" s="10">
        <f>SUM(E36:G36)</f>
        <v>47</v>
      </c>
      <c r="E36" s="33">
        <v>24</v>
      </c>
      <c r="F36" s="34">
        <v>12</v>
      </c>
      <c r="G36" s="34">
        <v>11</v>
      </c>
      <c r="H36" s="35">
        <f>E36/D36*100</f>
        <v>51.063829787234042</v>
      </c>
      <c r="I36" s="36">
        <f>F36/D36*100</f>
        <v>25.531914893617021</v>
      </c>
      <c r="J36" s="36">
        <f>G36/D36*100</f>
        <v>23.404255319148938</v>
      </c>
      <c r="K36" s="76"/>
    </row>
    <row r="37" spans="2:11" ht="12" customHeight="1">
      <c r="B37" s="79"/>
      <c r="C37" s="11" t="s">
        <v>0</v>
      </c>
      <c r="D37" s="12">
        <f>SUM(D35:D36)</f>
        <v>409</v>
      </c>
      <c r="E37" s="37"/>
      <c r="F37" s="4"/>
      <c r="G37" s="4"/>
      <c r="H37" s="37"/>
      <c r="I37" s="4"/>
      <c r="J37" s="4"/>
      <c r="K37" s="76"/>
    </row>
    <row r="38" spans="2:11" ht="12" customHeight="1">
      <c r="B38" s="80" t="s">
        <v>4</v>
      </c>
      <c r="C38" s="14" t="s">
        <v>5</v>
      </c>
      <c r="D38" s="15">
        <f t="shared" ref="D38:D43" si="0">SUM(E38:G38)</f>
        <v>256</v>
      </c>
      <c r="E38" s="51">
        <v>132</v>
      </c>
      <c r="F38" s="52">
        <v>75</v>
      </c>
      <c r="G38" s="52">
        <v>49</v>
      </c>
      <c r="H38" s="30">
        <f t="shared" ref="H38:H43" si="1">E38/D38*100</f>
        <v>51.5625</v>
      </c>
      <c r="I38" s="31">
        <f t="shared" ref="I38:I43" si="2">F38/D38*100</f>
        <v>29.296875</v>
      </c>
      <c r="J38" s="31">
        <f t="shared" ref="J38:J43" si="3">G38/D38*100</f>
        <v>19.140625</v>
      </c>
      <c r="K38" s="85" t="s">
        <v>12</v>
      </c>
    </row>
    <row r="39" spans="2:11" ht="12" customHeight="1">
      <c r="B39" s="80"/>
      <c r="C39" s="14" t="s">
        <v>6</v>
      </c>
      <c r="D39" s="15">
        <f t="shared" si="0"/>
        <v>64</v>
      </c>
      <c r="E39" s="51">
        <v>44</v>
      </c>
      <c r="F39" s="52">
        <v>11</v>
      </c>
      <c r="G39" s="52">
        <v>9</v>
      </c>
      <c r="H39" s="30">
        <f t="shared" si="1"/>
        <v>68.75</v>
      </c>
      <c r="I39" s="31">
        <f t="shared" si="2"/>
        <v>17.1875</v>
      </c>
      <c r="J39" s="31">
        <f t="shared" si="3"/>
        <v>14.0625</v>
      </c>
      <c r="K39" s="85"/>
    </row>
    <row r="40" spans="2:11" ht="12" customHeight="1">
      <c r="B40" s="80"/>
      <c r="C40" s="14" t="s">
        <v>39</v>
      </c>
      <c r="D40" s="15">
        <f t="shared" si="0"/>
        <v>40</v>
      </c>
      <c r="E40" s="51">
        <v>27</v>
      </c>
      <c r="F40" s="52">
        <v>10</v>
      </c>
      <c r="G40" s="52">
        <v>3</v>
      </c>
      <c r="H40" s="30">
        <f t="shared" si="1"/>
        <v>67.5</v>
      </c>
      <c r="I40" s="31">
        <f t="shared" si="2"/>
        <v>25</v>
      </c>
      <c r="J40" s="31">
        <f t="shared" si="3"/>
        <v>7.5</v>
      </c>
      <c r="K40" s="85"/>
    </row>
    <row r="41" spans="2:11" ht="12" customHeight="1">
      <c r="B41" s="80"/>
      <c r="C41" s="14" t="s">
        <v>40</v>
      </c>
      <c r="D41" s="15">
        <f t="shared" si="0"/>
        <v>37</v>
      </c>
      <c r="E41" s="51">
        <v>20</v>
      </c>
      <c r="F41" s="52">
        <v>7</v>
      </c>
      <c r="G41" s="52">
        <v>10</v>
      </c>
      <c r="H41" s="30">
        <f t="shared" si="1"/>
        <v>54.054054054054056</v>
      </c>
      <c r="I41" s="31">
        <f t="shared" si="2"/>
        <v>18.918918918918919</v>
      </c>
      <c r="J41" s="31">
        <f t="shared" si="3"/>
        <v>27.027027027027028</v>
      </c>
      <c r="K41" s="85"/>
    </row>
    <row r="42" spans="2:11" ht="12" customHeight="1">
      <c r="B42" s="80"/>
      <c r="C42" s="14" t="s">
        <v>7</v>
      </c>
      <c r="D42" s="15">
        <f t="shared" si="0"/>
        <v>18</v>
      </c>
      <c r="E42" s="51">
        <v>10</v>
      </c>
      <c r="F42" s="52">
        <v>2</v>
      </c>
      <c r="G42" s="52">
        <v>6</v>
      </c>
      <c r="H42" s="30">
        <f t="shared" si="1"/>
        <v>55.555555555555557</v>
      </c>
      <c r="I42" s="31">
        <f t="shared" si="2"/>
        <v>11.111111111111111</v>
      </c>
      <c r="J42" s="31">
        <f t="shared" si="3"/>
        <v>33.333333333333329</v>
      </c>
      <c r="K42" s="85"/>
    </row>
    <row r="43" spans="2:11" ht="12" customHeight="1">
      <c r="B43" s="80"/>
      <c r="C43" s="14" t="s">
        <v>41</v>
      </c>
      <c r="D43" s="17">
        <f t="shared" si="0"/>
        <v>29</v>
      </c>
      <c r="E43" s="51">
        <v>19</v>
      </c>
      <c r="F43" s="52">
        <v>5</v>
      </c>
      <c r="G43" s="52">
        <v>5</v>
      </c>
      <c r="H43" s="30">
        <f t="shared" si="1"/>
        <v>65.517241379310349</v>
      </c>
      <c r="I43" s="31">
        <f t="shared" si="2"/>
        <v>17.241379310344829</v>
      </c>
      <c r="J43" s="31">
        <f t="shared" si="3"/>
        <v>17.241379310344829</v>
      </c>
      <c r="K43" s="85"/>
    </row>
    <row r="44" spans="2:11" ht="12" customHeight="1">
      <c r="B44" s="80"/>
      <c r="C44" s="18" t="s">
        <v>0</v>
      </c>
      <c r="D44" s="19">
        <f>SUM(D38:D43)</f>
        <v>444</v>
      </c>
      <c r="E44" s="26"/>
      <c r="F44" s="20"/>
      <c r="G44" s="20"/>
      <c r="H44" s="26"/>
      <c r="I44" s="20"/>
      <c r="J44" s="20"/>
      <c r="K44" s="85"/>
    </row>
    <row r="45" spans="2:11" ht="12" customHeight="1">
      <c r="B45" s="79" t="s">
        <v>29</v>
      </c>
      <c r="C45" s="32" t="s">
        <v>42</v>
      </c>
      <c r="D45" s="8">
        <f>SUM(E45:G45)</f>
        <v>341</v>
      </c>
      <c r="E45" s="33">
        <v>180</v>
      </c>
      <c r="F45" s="34">
        <v>91</v>
      </c>
      <c r="G45" s="34">
        <v>70</v>
      </c>
      <c r="H45" s="35">
        <f>E45/D45*100</f>
        <v>52.785923753665685</v>
      </c>
      <c r="I45" s="36">
        <f>F45/D45*100</f>
        <v>26.686217008797652</v>
      </c>
      <c r="J45" s="36">
        <f>G45/D45*100</f>
        <v>20.527859237536656</v>
      </c>
      <c r="K45" s="77" t="s">
        <v>12</v>
      </c>
    </row>
    <row r="46" spans="2:11" ht="12" customHeight="1">
      <c r="B46" s="79"/>
      <c r="C46" s="32" t="s">
        <v>43</v>
      </c>
      <c r="D46" s="10">
        <f>SUM(E46:G46)</f>
        <v>56</v>
      </c>
      <c r="E46" s="33">
        <v>32</v>
      </c>
      <c r="F46" s="34">
        <v>14</v>
      </c>
      <c r="G46" s="34">
        <v>10</v>
      </c>
      <c r="H46" s="35">
        <f>E46/D46*100</f>
        <v>57.142857142857139</v>
      </c>
      <c r="I46" s="36">
        <f>F46/D46*100</f>
        <v>25</v>
      </c>
      <c r="J46" s="36">
        <f>G46/D46*100</f>
        <v>17.857142857142858</v>
      </c>
      <c r="K46" s="77"/>
    </row>
    <row r="47" spans="2:11" ht="12" customHeight="1">
      <c r="B47" s="79"/>
      <c r="C47" s="11" t="s">
        <v>0</v>
      </c>
      <c r="D47" s="12">
        <f>SUM(D45:D46)</f>
        <v>397</v>
      </c>
      <c r="E47" s="37"/>
      <c r="F47" s="4"/>
      <c r="G47" s="4"/>
      <c r="H47" s="37"/>
      <c r="I47" s="4"/>
      <c r="J47" s="4"/>
      <c r="K47" s="77"/>
    </row>
    <row r="48" spans="2:11" ht="12" customHeight="1">
      <c r="B48" s="80" t="s">
        <v>44</v>
      </c>
      <c r="C48" s="14" t="s">
        <v>42</v>
      </c>
      <c r="D48" s="15">
        <f>SUM(E48:G48)</f>
        <v>254</v>
      </c>
      <c r="E48" s="24">
        <v>134</v>
      </c>
      <c r="F48" s="16">
        <v>72</v>
      </c>
      <c r="G48" s="16">
        <v>48</v>
      </c>
      <c r="H48" s="30">
        <f>E48/D48*100</f>
        <v>52.755905511811022</v>
      </c>
      <c r="I48" s="31">
        <f>F48/D48*100</f>
        <v>28.346456692913385</v>
      </c>
      <c r="J48" s="31">
        <f>G48/D48*100</f>
        <v>18.897637795275589</v>
      </c>
      <c r="K48" s="85" t="s">
        <v>12</v>
      </c>
    </row>
    <row r="49" spans="2:11" ht="12" customHeight="1">
      <c r="B49" s="80"/>
      <c r="C49" s="14" t="s">
        <v>43</v>
      </c>
      <c r="D49" s="17">
        <f>SUM(E49:G49)</f>
        <v>145</v>
      </c>
      <c r="E49" s="24">
        <v>80</v>
      </c>
      <c r="F49" s="16">
        <v>34</v>
      </c>
      <c r="G49" s="16">
        <v>31</v>
      </c>
      <c r="H49" s="30">
        <f>E49/D49*100</f>
        <v>55.172413793103445</v>
      </c>
      <c r="I49" s="31">
        <f>F49/D49*100</f>
        <v>23.448275862068964</v>
      </c>
      <c r="J49" s="31">
        <f>G49/D49*100</f>
        <v>21.379310344827587</v>
      </c>
      <c r="K49" s="85"/>
    </row>
    <row r="50" spans="2:11" ht="12" customHeight="1">
      <c r="B50" s="80"/>
      <c r="C50" s="18" t="s">
        <v>0</v>
      </c>
      <c r="D50" s="19">
        <f>SUM(D48:D49)</f>
        <v>399</v>
      </c>
      <c r="E50" s="26"/>
      <c r="F50" s="20"/>
      <c r="G50" s="20"/>
      <c r="H50" s="26"/>
      <c r="I50" s="20"/>
      <c r="J50" s="20"/>
      <c r="K50" s="85"/>
    </row>
    <row r="51" spans="2:11" ht="12" customHeight="1">
      <c r="B51" s="79" t="s">
        <v>51</v>
      </c>
      <c r="C51" s="32" t="s">
        <v>47</v>
      </c>
      <c r="D51" s="8">
        <f>SUM(E51:G51)</f>
        <v>333</v>
      </c>
      <c r="E51" s="33">
        <v>187</v>
      </c>
      <c r="F51" s="34">
        <v>87</v>
      </c>
      <c r="G51" s="34">
        <v>59</v>
      </c>
      <c r="H51" s="35">
        <f>E51/D51*100</f>
        <v>56.156156156156158</v>
      </c>
      <c r="I51" s="36">
        <f>F51/D51*100</f>
        <v>26.126126126126124</v>
      </c>
      <c r="J51" s="36">
        <f>G51/D51*100</f>
        <v>17.717717717717719</v>
      </c>
      <c r="K51" s="77" t="s">
        <v>12</v>
      </c>
    </row>
    <row r="52" spans="2:11" ht="12" customHeight="1">
      <c r="B52" s="79"/>
      <c r="C52" s="32" t="s">
        <v>55</v>
      </c>
      <c r="D52" s="10">
        <f>SUM(E52:G52)</f>
        <v>100</v>
      </c>
      <c r="E52" s="33">
        <v>55</v>
      </c>
      <c r="F52" s="34">
        <v>23</v>
      </c>
      <c r="G52" s="34">
        <v>22</v>
      </c>
      <c r="H52" s="35">
        <f>E52/D52*100</f>
        <v>55.000000000000007</v>
      </c>
      <c r="I52" s="36">
        <f>F52/D52*100</f>
        <v>23</v>
      </c>
      <c r="J52" s="36">
        <f>G52/D52*100</f>
        <v>22</v>
      </c>
      <c r="K52" s="77"/>
    </row>
    <row r="53" spans="2:11" ht="12" customHeight="1">
      <c r="B53" s="79"/>
      <c r="C53" s="11" t="s">
        <v>0</v>
      </c>
      <c r="D53" s="12">
        <f>SUM(D51:D52)</f>
        <v>433</v>
      </c>
      <c r="E53" s="37"/>
      <c r="F53" s="4"/>
      <c r="G53" s="4"/>
      <c r="H53" s="37"/>
      <c r="I53" s="4"/>
      <c r="J53" s="4"/>
      <c r="K53" s="77"/>
    </row>
    <row r="54" spans="2:11" ht="12" customHeight="1">
      <c r="B54" s="80" t="s">
        <v>52</v>
      </c>
      <c r="C54" s="14" t="s">
        <v>48</v>
      </c>
      <c r="D54" s="15">
        <f>SUM(E54:G54)</f>
        <v>342</v>
      </c>
      <c r="E54" s="24">
        <v>192</v>
      </c>
      <c r="F54" s="16">
        <v>89</v>
      </c>
      <c r="G54" s="16">
        <v>61</v>
      </c>
      <c r="H54" s="30">
        <f>E54/D54*100</f>
        <v>56.140350877192979</v>
      </c>
      <c r="I54" s="31">
        <f>F54/D54*100</f>
        <v>26.023391812865498</v>
      </c>
      <c r="J54" s="31">
        <f>G54/D54*100</f>
        <v>17.836257309941519</v>
      </c>
      <c r="K54" s="85" t="s">
        <v>12</v>
      </c>
    </row>
    <row r="55" spans="2:11" ht="12" customHeight="1">
      <c r="B55" s="80"/>
      <c r="C55" s="14" t="s">
        <v>56</v>
      </c>
      <c r="D55" s="17">
        <f>SUM(E55:G55)</f>
        <v>93</v>
      </c>
      <c r="E55" s="24">
        <v>51</v>
      </c>
      <c r="F55" s="16">
        <v>21</v>
      </c>
      <c r="G55" s="16">
        <v>21</v>
      </c>
      <c r="H55" s="30">
        <f>E55/D55*100</f>
        <v>54.838709677419352</v>
      </c>
      <c r="I55" s="31">
        <f>F55/D55*100</f>
        <v>22.58064516129032</v>
      </c>
      <c r="J55" s="31">
        <f>G55/D55*100</f>
        <v>22.58064516129032</v>
      </c>
      <c r="K55" s="85"/>
    </row>
    <row r="56" spans="2:11" ht="12" customHeight="1">
      <c r="B56" s="80"/>
      <c r="C56" s="18" t="s">
        <v>0</v>
      </c>
      <c r="D56" s="19">
        <f>SUM(D54:D55)</f>
        <v>435</v>
      </c>
      <c r="E56" s="26"/>
      <c r="F56" s="20"/>
      <c r="G56" s="20"/>
      <c r="H56" s="26"/>
      <c r="I56" s="20"/>
      <c r="J56" s="20"/>
      <c r="K56" s="85"/>
    </row>
    <row r="57" spans="2:11" ht="12" customHeight="1">
      <c r="B57" s="79" t="s">
        <v>54</v>
      </c>
      <c r="C57" s="32" t="s">
        <v>49</v>
      </c>
      <c r="D57" s="8">
        <f t="shared" ref="D57:D58" si="4">SUM(E57:G57)</f>
        <v>73</v>
      </c>
      <c r="E57" s="33">
        <v>47</v>
      </c>
      <c r="F57" s="34">
        <v>13</v>
      </c>
      <c r="G57" s="34">
        <v>13</v>
      </c>
      <c r="H57" s="35">
        <f>E57/D57*100</f>
        <v>64.38356164383562</v>
      </c>
      <c r="I57" s="36">
        <f>F57/D57*100</f>
        <v>17.80821917808219</v>
      </c>
      <c r="J57" s="36">
        <f>G57/D57*100</f>
        <v>17.80821917808219</v>
      </c>
      <c r="K57" s="77" t="s">
        <v>12</v>
      </c>
    </row>
    <row r="58" spans="2:11" ht="12" customHeight="1">
      <c r="B58" s="79"/>
      <c r="C58" s="32" t="s">
        <v>50</v>
      </c>
      <c r="D58" s="10">
        <f t="shared" si="4"/>
        <v>359</v>
      </c>
      <c r="E58" s="33">
        <v>194</v>
      </c>
      <c r="F58" s="34">
        <v>97</v>
      </c>
      <c r="G58" s="34">
        <v>68</v>
      </c>
      <c r="H58" s="35">
        <f>E58/D58*100</f>
        <v>54.038997214484674</v>
      </c>
      <c r="I58" s="36">
        <f>F58/D58*100</f>
        <v>27.019498607242337</v>
      </c>
      <c r="J58" s="36">
        <f>G58/D58*100</f>
        <v>18.941504178272979</v>
      </c>
      <c r="K58" s="77"/>
    </row>
    <row r="59" spans="2:11" ht="12" customHeight="1">
      <c r="B59" s="79"/>
      <c r="C59" s="11" t="s">
        <v>0</v>
      </c>
      <c r="D59" s="12">
        <f>SUM(D57:D58)</f>
        <v>432</v>
      </c>
      <c r="E59" s="37"/>
      <c r="F59" s="4"/>
      <c r="G59" s="4"/>
      <c r="H59" s="37"/>
      <c r="I59" s="4"/>
      <c r="J59" s="4"/>
      <c r="K59" s="77"/>
    </row>
    <row r="60" spans="2:11" ht="12" customHeight="1">
      <c r="B60" s="80" t="s">
        <v>21</v>
      </c>
      <c r="C60" s="14" t="s">
        <v>19</v>
      </c>
      <c r="D60" s="15">
        <f>SUM(E60:G60)</f>
        <v>171</v>
      </c>
      <c r="E60" s="24">
        <v>107</v>
      </c>
      <c r="F60" s="16">
        <v>34</v>
      </c>
      <c r="G60" s="16">
        <v>30</v>
      </c>
      <c r="H60" s="30">
        <f>E60/D60*100</f>
        <v>62.57309941520468</v>
      </c>
      <c r="I60" s="31">
        <f>F60/D60*100</f>
        <v>19.883040935672515</v>
      </c>
      <c r="J60" s="31">
        <f>G60/D60*100</f>
        <v>17.543859649122805</v>
      </c>
      <c r="K60" s="85" t="s">
        <v>12</v>
      </c>
    </row>
    <row r="61" spans="2:11" ht="12" customHeight="1">
      <c r="B61" s="80"/>
      <c r="C61" s="14" t="s">
        <v>22</v>
      </c>
      <c r="D61" s="15">
        <f>SUM(E61:G61)</f>
        <v>187</v>
      </c>
      <c r="E61" s="24">
        <v>93</v>
      </c>
      <c r="F61" s="16">
        <v>59</v>
      </c>
      <c r="G61" s="16">
        <v>35</v>
      </c>
      <c r="H61" s="30">
        <f>E61/D61*100</f>
        <v>49.732620320855617</v>
      </c>
      <c r="I61" s="31">
        <f>F61/D61*100</f>
        <v>31.550802139037433</v>
      </c>
      <c r="J61" s="31">
        <f>G61/D61*100</f>
        <v>18.71657754010695</v>
      </c>
      <c r="K61" s="85"/>
    </row>
    <row r="62" spans="2:11" ht="12" customHeight="1">
      <c r="B62" s="80"/>
      <c r="C62" s="14" t="s">
        <v>23</v>
      </c>
      <c r="D62" s="15">
        <f>SUM(E62:G62)</f>
        <v>71</v>
      </c>
      <c r="E62" s="24">
        <v>44</v>
      </c>
      <c r="F62" s="16">
        <v>14</v>
      </c>
      <c r="G62" s="16">
        <v>13</v>
      </c>
      <c r="H62" s="30">
        <f>E62/D62*100</f>
        <v>61.971830985915489</v>
      </c>
      <c r="I62" s="31">
        <f>F62/D62*100</f>
        <v>19.718309859154928</v>
      </c>
      <c r="J62" s="31">
        <f>G62/D62*100</f>
        <v>18.30985915492958</v>
      </c>
      <c r="K62" s="85"/>
    </row>
    <row r="63" spans="2:11" ht="12" customHeight="1">
      <c r="B63" s="80"/>
      <c r="C63" s="14" t="s">
        <v>24</v>
      </c>
      <c r="D63" s="17">
        <f>SUM(E63:G63)</f>
        <v>18</v>
      </c>
      <c r="E63" s="24">
        <v>11</v>
      </c>
      <c r="F63" s="16">
        <v>2</v>
      </c>
      <c r="G63" s="16">
        <v>5</v>
      </c>
      <c r="H63" s="30">
        <f>E63/D63*100</f>
        <v>61.111111111111114</v>
      </c>
      <c r="I63" s="31">
        <f>F63/D63*100</f>
        <v>11.111111111111111</v>
      </c>
      <c r="J63" s="31">
        <f>G63/D63*100</f>
        <v>27.777777777777779</v>
      </c>
      <c r="K63" s="85"/>
    </row>
    <row r="64" spans="2:11" ht="12" customHeight="1">
      <c r="B64" s="80"/>
      <c r="C64" s="18" t="s">
        <v>0</v>
      </c>
      <c r="D64" s="19">
        <f>SUM(D60:D63)</f>
        <v>447</v>
      </c>
      <c r="E64" s="26"/>
      <c r="F64" s="20"/>
      <c r="G64" s="20"/>
      <c r="H64" s="26"/>
      <c r="I64" s="20"/>
      <c r="J64" s="20"/>
      <c r="K64" s="85"/>
    </row>
    <row r="65" spans="2:11" ht="12" customHeight="1">
      <c r="B65" s="79" t="s">
        <v>13</v>
      </c>
      <c r="C65" s="32" t="s">
        <v>37</v>
      </c>
      <c r="D65" s="8">
        <f>SUM(E65:G65)</f>
        <v>135</v>
      </c>
      <c r="E65" s="33">
        <v>78</v>
      </c>
      <c r="F65" s="34">
        <v>31</v>
      </c>
      <c r="G65" s="34">
        <v>26</v>
      </c>
      <c r="H65" s="35">
        <f>E65/D65*100</f>
        <v>57.777777777777771</v>
      </c>
      <c r="I65" s="36">
        <f>F65/D65*100</f>
        <v>22.962962962962962</v>
      </c>
      <c r="J65" s="36">
        <f>G65/D65*100</f>
        <v>19.25925925925926</v>
      </c>
      <c r="K65" s="77" t="s">
        <v>12</v>
      </c>
    </row>
    <row r="66" spans="2:11" ht="12" customHeight="1">
      <c r="B66" s="79"/>
      <c r="C66" s="32" t="s">
        <v>38</v>
      </c>
      <c r="D66" s="10">
        <f>SUM(E66:G66)</f>
        <v>116</v>
      </c>
      <c r="E66" s="33">
        <v>53</v>
      </c>
      <c r="F66" s="34">
        <v>29</v>
      </c>
      <c r="G66" s="34">
        <v>34</v>
      </c>
      <c r="H66" s="35">
        <f>E66/D66*100</f>
        <v>45.689655172413794</v>
      </c>
      <c r="I66" s="36">
        <f>F66/D66*100</f>
        <v>25</v>
      </c>
      <c r="J66" s="36">
        <f>G66/D66*100</f>
        <v>29.310344827586203</v>
      </c>
      <c r="K66" s="77"/>
    </row>
    <row r="67" spans="2:11" ht="12" customHeight="1">
      <c r="B67" s="79"/>
      <c r="C67" s="11" t="s">
        <v>0</v>
      </c>
      <c r="D67" s="12">
        <f>SUM(D65:D66)</f>
        <v>251</v>
      </c>
      <c r="E67" s="37"/>
      <c r="F67" s="4"/>
      <c r="G67" s="4"/>
      <c r="H67" s="37"/>
      <c r="I67" s="4"/>
      <c r="J67" s="4"/>
      <c r="K67" s="77"/>
    </row>
    <row r="68" spans="2:11" ht="12" customHeight="1">
      <c r="B68" s="80" t="s">
        <v>14</v>
      </c>
      <c r="C68" s="14" t="s">
        <v>15</v>
      </c>
      <c r="D68" s="15">
        <f>SUM(E68:G68)</f>
        <v>177</v>
      </c>
      <c r="E68" s="24">
        <v>100</v>
      </c>
      <c r="F68" s="16">
        <v>42</v>
      </c>
      <c r="G68" s="16">
        <v>35</v>
      </c>
      <c r="H68" s="30">
        <f>E68/D68*100</f>
        <v>56.497175141242941</v>
      </c>
      <c r="I68" s="31">
        <f>F68/D68*100</f>
        <v>23.728813559322035</v>
      </c>
      <c r="J68" s="31">
        <f>G68/D68*100</f>
        <v>19.774011299435028</v>
      </c>
      <c r="K68" s="85" t="s">
        <v>12</v>
      </c>
    </row>
    <row r="69" spans="2:11" ht="12" customHeight="1">
      <c r="B69" s="80"/>
      <c r="C69" s="14" t="s">
        <v>16</v>
      </c>
      <c r="D69" s="15">
        <f>SUM(E69:G69)</f>
        <v>169</v>
      </c>
      <c r="E69" s="24">
        <v>94</v>
      </c>
      <c r="F69" s="16">
        <v>46</v>
      </c>
      <c r="G69" s="16">
        <v>29</v>
      </c>
      <c r="H69" s="30">
        <f>E69/D69*100</f>
        <v>55.621301775147927</v>
      </c>
      <c r="I69" s="31">
        <f>F69/D69*100</f>
        <v>27.218934911242602</v>
      </c>
      <c r="J69" s="31">
        <f>G69/D69*100</f>
        <v>17.159763313609467</v>
      </c>
      <c r="K69" s="85"/>
    </row>
    <row r="70" spans="2:11" ht="12" customHeight="1">
      <c r="B70" s="80"/>
      <c r="C70" s="14" t="s">
        <v>17</v>
      </c>
      <c r="D70" s="17">
        <f>SUM(E70:G70)</f>
        <v>34</v>
      </c>
      <c r="E70" s="24">
        <v>15</v>
      </c>
      <c r="F70" s="16">
        <v>9</v>
      </c>
      <c r="G70" s="16">
        <v>10</v>
      </c>
      <c r="H70" s="30">
        <f>E70/D70*100</f>
        <v>44.117647058823529</v>
      </c>
      <c r="I70" s="31">
        <f>F70/D70*100</f>
        <v>26.47058823529412</v>
      </c>
      <c r="J70" s="31">
        <f>G70/D70*100</f>
        <v>29.411764705882355</v>
      </c>
      <c r="K70" s="85"/>
    </row>
    <row r="71" spans="2:11" ht="12" customHeight="1">
      <c r="B71" s="80"/>
      <c r="C71" s="18" t="s">
        <v>0</v>
      </c>
      <c r="D71" s="19">
        <f>SUM(D68:D70)</f>
        <v>380</v>
      </c>
      <c r="E71" s="26"/>
      <c r="F71" s="20"/>
      <c r="G71" s="20"/>
      <c r="H71" s="26"/>
      <c r="I71" s="20"/>
      <c r="J71" s="20"/>
      <c r="K71" s="85"/>
    </row>
    <row r="72" spans="2:11" ht="12" customHeight="1">
      <c r="B72" s="90" t="s">
        <v>25</v>
      </c>
      <c r="C72" s="38" t="s">
        <v>26</v>
      </c>
      <c r="D72" s="39">
        <f>SUM(E72:G72)</f>
        <v>387</v>
      </c>
      <c r="E72" s="33">
        <v>223</v>
      </c>
      <c r="F72" s="40">
        <v>98</v>
      </c>
      <c r="G72" s="40">
        <v>66</v>
      </c>
      <c r="H72" s="35">
        <f>E72/D72*100</f>
        <v>57.622739018087856</v>
      </c>
      <c r="I72" s="41">
        <f>F72/D72*100</f>
        <v>25.322997416020669</v>
      </c>
      <c r="J72" s="41">
        <f>G72/D72*100</f>
        <v>17.054263565891471</v>
      </c>
      <c r="K72" s="77" t="s">
        <v>12</v>
      </c>
    </row>
    <row r="73" spans="2:11" ht="12" customHeight="1">
      <c r="B73" s="90"/>
      <c r="C73" s="38" t="s">
        <v>27</v>
      </c>
      <c r="D73" s="39">
        <f>SUM(E73:G73)</f>
        <v>31</v>
      </c>
      <c r="E73" s="33">
        <v>14</v>
      </c>
      <c r="F73" s="40">
        <v>9</v>
      </c>
      <c r="G73" s="40">
        <v>8</v>
      </c>
      <c r="H73" s="35">
        <f>E73/D73*100</f>
        <v>45.161290322580641</v>
      </c>
      <c r="I73" s="41">
        <f>F73/D73*100</f>
        <v>29.032258064516132</v>
      </c>
      <c r="J73" s="41">
        <f>G73/D73*100</f>
        <v>25.806451612903224</v>
      </c>
      <c r="K73" s="77"/>
    </row>
    <row r="74" spans="2:11" ht="12" customHeight="1">
      <c r="B74" s="90"/>
      <c r="C74" s="38" t="s">
        <v>28</v>
      </c>
      <c r="D74" s="10">
        <f>SUM(E74:G74)</f>
        <v>25</v>
      </c>
      <c r="E74" s="33">
        <v>14</v>
      </c>
      <c r="F74" s="40">
        <v>3</v>
      </c>
      <c r="G74" s="40">
        <v>8</v>
      </c>
      <c r="H74" s="35">
        <f>E74/D74*100</f>
        <v>56.000000000000007</v>
      </c>
      <c r="I74" s="41">
        <f>F74/D74*100</f>
        <v>12</v>
      </c>
      <c r="J74" s="41">
        <f>G74/D74*100</f>
        <v>32</v>
      </c>
      <c r="K74" s="77"/>
    </row>
    <row r="75" spans="2:11" ht="12" customHeight="1" thickBot="1">
      <c r="B75" s="91"/>
      <c r="C75" s="42" t="s">
        <v>0</v>
      </c>
      <c r="D75" s="43">
        <f>SUM(D72:D74)</f>
        <v>443</v>
      </c>
      <c r="E75" s="44"/>
      <c r="F75" s="45"/>
      <c r="G75" s="45"/>
      <c r="H75" s="44"/>
      <c r="I75" s="45"/>
      <c r="J75" s="45"/>
      <c r="K75" s="84"/>
    </row>
    <row r="76" spans="2:11" ht="21" customHeight="1">
      <c r="B76" s="21" t="s">
        <v>66</v>
      </c>
    </row>
  </sheetData>
  <mergeCells count="42">
    <mergeCell ref="B60:B64"/>
    <mergeCell ref="B65:B67"/>
    <mergeCell ref="B16:B18"/>
    <mergeCell ref="K16:K18"/>
    <mergeCell ref="B72:B75"/>
    <mergeCell ref="B35:B37"/>
    <mergeCell ref="K26:K28"/>
    <mergeCell ref="B68:B71"/>
    <mergeCell ref="B51:B53"/>
    <mergeCell ref="B29:B34"/>
    <mergeCell ref="B54:B56"/>
    <mergeCell ref="K38:K44"/>
    <mergeCell ref="K35:K37"/>
    <mergeCell ref="K60:K64"/>
    <mergeCell ref="K65:K67"/>
    <mergeCell ref="K68:K71"/>
    <mergeCell ref="K3:K4"/>
    <mergeCell ref="K8:K11"/>
    <mergeCell ref="K12:K15"/>
    <mergeCell ref="K19:K21"/>
    <mergeCell ref="K22:K25"/>
    <mergeCell ref="K72:K75"/>
    <mergeCell ref="K45:K47"/>
    <mergeCell ref="K48:K50"/>
    <mergeCell ref="K51:K53"/>
    <mergeCell ref="K54:K56"/>
    <mergeCell ref="H3:J3"/>
    <mergeCell ref="E3:G3"/>
    <mergeCell ref="K5:K7"/>
    <mergeCell ref="K57:K59"/>
    <mergeCell ref="B3:B4"/>
    <mergeCell ref="B57:B59"/>
    <mergeCell ref="B45:B47"/>
    <mergeCell ref="B48:B50"/>
    <mergeCell ref="B38:B44"/>
    <mergeCell ref="B8:B11"/>
    <mergeCell ref="B12:B15"/>
    <mergeCell ref="B19:B21"/>
    <mergeCell ref="B22:B25"/>
    <mergeCell ref="B26:B28"/>
    <mergeCell ref="B5:B7"/>
    <mergeCell ref="K29:K3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</sheetPr>
  <dimension ref="A1:M39"/>
  <sheetViews>
    <sheetView tabSelected="1" topLeftCell="A9" zoomScale="125" zoomScaleNormal="125" zoomScalePageLayoutView="125" workbookViewId="0">
      <selection activeCell="J29" sqref="J29"/>
    </sheetView>
  </sheetViews>
  <sheetFormatPr baseColWidth="10" defaultColWidth="10.83203125" defaultRowHeight="12" x14ac:dyDescent="0"/>
  <cols>
    <col min="1" max="1" width="10.83203125" style="46"/>
    <col min="2" max="2" width="20" style="46" customWidth="1"/>
    <col min="3" max="3" width="16.83203125" style="46" customWidth="1"/>
    <col min="4" max="6" width="11.83203125" style="46" customWidth="1"/>
    <col min="7" max="7" width="10.83203125" style="46"/>
    <col min="8" max="8" width="12.83203125" style="46" customWidth="1"/>
    <col min="9" max="16384" width="10.83203125" style="46"/>
  </cols>
  <sheetData>
    <row r="1" spans="2:12" ht="13" thickBot="1"/>
    <row r="2" spans="2:12" ht="23" customHeight="1" thickBot="1">
      <c r="D2" s="97" t="s">
        <v>88</v>
      </c>
      <c r="E2" s="98"/>
      <c r="F2" s="98"/>
      <c r="G2" s="98"/>
      <c r="H2" s="98"/>
      <c r="I2" s="99"/>
    </row>
    <row r="3" spans="2:12" ht="30" customHeight="1" thickBot="1">
      <c r="D3" s="94" t="s">
        <v>90</v>
      </c>
      <c r="E3" s="95"/>
      <c r="F3" s="96"/>
      <c r="G3" s="94" t="s">
        <v>134</v>
      </c>
      <c r="H3" s="95"/>
      <c r="I3" s="96"/>
    </row>
    <row r="4" spans="2:12" ht="33" customHeight="1" thickBot="1">
      <c r="D4" s="69" t="s">
        <v>107</v>
      </c>
      <c r="E4" s="70" t="s">
        <v>81</v>
      </c>
      <c r="F4" s="71" t="s">
        <v>138</v>
      </c>
      <c r="G4" s="67" t="s">
        <v>74</v>
      </c>
      <c r="H4" s="68" t="s">
        <v>75</v>
      </c>
      <c r="I4" s="55" t="s">
        <v>138</v>
      </c>
    </row>
    <row r="5" spans="2:12" ht="16" customHeight="1">
      <c r="B5" s="46" t="s">
        <v>101</v>
      </c>
      <c r="D5" s="53" t="s">
        <v>106</v>
      </c>
      <c r="E5" s="54">
        <f>1-(145/432)</f>
        <v>0.66435185185185186</v>
      </c>
      <c r="F5" s="55" t="s">
        <v>102</v>
      </c>
      <c r="G5" s="67" t="s">
        <v>102</v>
      </c>
      <c r="H5" s="68" t="s">
        <v>102</v>
      </c>
      <c r="I5" s="55" t="s">
        <v>102</v>
      </c>
    </row>
    <row r="6" spans="2:12" ht="15" customHeight="1">
      <c r="B6" s="112" t="s">
        <v>13</v>
      </c>
      <c r="C6" s="56" t="s">
        <v>82</v>
      </c>
      <c r="D6" s="57" t="s">
        <v>95</v>
      </c>
      <c r="E6" s="58">
        <f>1-(33/133)</f>
        <v>0.75187969924812026</v>
      </c>
      <c r="F6" s="109" t="s">
        <v>80</v>
      </c>
      <c r="G6" s="103">
        <v>2.165</v>
      </c>
      <c r="H6" s="101" t="s">
        <v>126</v>
      </c>
      <c r="I6" s="109">
        <v>1.1999999999999999E-3</v>
      </c>
    </row>
    <row r="7" spans="2:12" ht="15" customHeight="1">
      <c r="B7" s="112"/>
      <c r="C7" s="56" t="s">
        <v>83</v>
      </c>
      <c r="D7" s="57" t="s">
        <v>113</v>
      </c>
      <c r="E7" s="58">
        <f>1-(23/47)</f>
        <v>0.5106382978723405</v>
      </c>
      <c r="F7" s="109"/>
      <c r="G7" s="103"/>
      <c r="H7" s="101"/>
      <c r="I7" s="109"/>
    </row>
    <row r="8" spans="2:12" ht="14" customHeight="1">
      <c r="B8" s="114" t="s">
        <v>14</v>
      </c>
      <c r="C8" s="48" t="s">
        <v>109</v>
      </c>
      <c r="D8" s="50" t="s">
        <v>111</v>
      </c>
      <c r="E8" s="49">
        <f>1-(37/160)</f>
        <v>0.76875000000000004</v>
      </c>
      <c r="F8" s="100">
        <v>1E-4</v>
      </c>
      <c r="G8" s="93">
        <v>2.2829999999999999</v>
      </c>
      <c r="H8" s="102" t="s">
        <v>123</v>
      </c>
      <c r="I8" s="100">
        <v>7.6E-3</v>
      </c>
    </row>
    <row r="9" spans="2:12" ht="14" customHeight="1">
      <c r="B9" s="114"/>
      <c r="C9" s="48" t="s">
        <v>110</v>
      </c>
      <c r="D9" s="50" t="s">
        <v>112</v>
      </c>
      <c r="E9" s="49">
        <f>1-(85/214)</f>
        <v>0.60280373831775702</v>
      </c>
      <c r="F9" s="100"/>
      <c r="G9" s="93"/>
      <c r="H9" s="102"/>
      <c r="I9" s="100"/>
    </row>
    <row r="10" spans="2:12" ht="14" customHeight="1">
      <c r="B10" s="112" t="s">
        <v>79</v>
      </c>
      <c r="C10" s="64" t="s">
        <v>84</v>
      </c>
      <c r="D10" s="65" t="s">
        <v>103</v>
      </c>
      <c r="E10" s="66">
        <f>1-(69/245)</f>
        <v>0.71836734693877546</v>
      </c>
      <c r="F10" s="108">
        <v>1.2999999999999999E-3</v>
      </c>
      <c r="G10" s="106">
        <v>1.3320000000000001</v>
      </c>
      <c r="H10" s="110" t="s">
        <v>124</v>
      </c>
      <c r="I10" s="108">
        <v>3.2099999999999997E-2</v>
      </c>
    </row>
    <row r="11" spans="2:12" ht="14" customHeight="1">
      <c r="B11" s="112"/>
      <c r="C11" s="64" t="s">
        <v>108</v>
      </c>
      <c r="D11" s="65" t="s">
        <v>104</v>
      </c>
      <c r="E11" s="66">
        <f>1-(35/106)</f>
        <v>0.66981132075471694</v>
      </c>
      <c r="F11" s="108"/>
      <c r="G11" s="106"/>
      <c r="H11" s="110"/>
      <c r="I11" s="108"/>
    </row>
    <row r="12" spans="2:12" ht="14" customHeight="1">
      <c r="B12" s="112"/>
      <c r="C12" s="64" t="s">
        <v>85</v>
      </c>
      <c r="D12" s="65" t="s">
        <v>105</v>
      </c>
      <c r="E12" s="66">
        <f>1-(41/81)</f>
        <v>0.49382716049382713</v>
      </c>
      <c r="F12" s="108"/>
      <c r="G12" s="106"/>
      <c r="H12" s="110"/>
      <c r="I12" s="108"/>
    </row>
    <row r="13" spans="2:12" ht="14" customHeight="1">
      <c r="B13" s="114" t="s">
        <v>127</v>
      </c>
      <c r="C13" s="48" t="s">
        <v>114</v>
      </c>
      <c r="D13" s="50" t="s">
        <v>117</v>
      </c>
      <c r="E13" s="49">
        <f>1-(121/382)</f>
        <v>0.68324607329842935</v>
      </c>
      <c r="F13" s="100" t="s">
        <v>80</v>
      </c>
      <c r="G13" s="93">
        <v>1.85</v>
      </c>
      <c r="H13" s="102" t="s">
        <v>125</v>
      </c>
      <c r="I13" s="100">
        <v>0.04</v>
      </c>
    </row>
    <row r="14" spans="2:12" ht="14" customHeight="1">
      <c r="B14" s="114"/>
      <c r="C14" s="48" t="s">
        <v>83</v>
      </c>
      <c r="D14" s="50" t="s">
        <v>118</v>
      </c>
      <c r="E14" s="49">
        <f>1-(24/43)</f>
        <v>0.44186046511627908</v>
      </c>
      <c r="F14" s="100"/>
      <c r="G14" s="93"/>
      <c r="H14" s="102"/>
      <c r="I14" s="100"/>
      <c r="K14" s="72"/>
      <c r="L14" s="72"/>
    </row>
    <row r="15" spans="2:12" ht="14" customHeight="1">
      <c r="B15" s="115" t="s">
        <v>76</v>
      </c>
      <c r="C15" s="56" t="s">
        <v>71</v>
      </c>
      <c r="D15" s="57" t="s">
        <v>99</v>
      </c>
      <c r="E15" s="58">
        <f>1-(8/60)</f>
        <v>0.8666666666666667</v>
      </c>
      <c r="F15" s="109">
        <v>2.0000000000000001E-4</v>
      </c>
      <c r="G15" s="107"/>
      <c r="H15" s="111"/>
      <c r="I15" s="105" t="s">
        <v>12</v>
      </c>
      <c r="K15" s="72"/>
      <c r="L15" s="72"/>
    </row>
    <row r="16" spans="2:12" ht="14" customHeight="1">
      <c r="B16" s="115"/>
      <c r="C16" s="56" t="s">
        <v>72</v>
      </c>
      <c r="D16" s="57" t="s">
        <v>98</v>
      </c>
      <c r="E16" s="58">
        <f>1-(77/210)</f>
        <v>0.6333333333333333</v>
      </c>
      <c r="F16" s="109"/>
      <c r="G16" s="107"/>
      <c r="H16" s="111"/>
      <c r="I16" s="105"/>
    </row>
    <row r="17" spans="1:13" ht="14" customHeight="1">
      <c r="B17" s="115"/>
      <c r="C17" s="56" t="s">
        <v>73</v>
      </c>
      <c r="D17" s="57" t="s">
        <v>100</v>
      </c>
      <c r="E17" s="58">
        <f>1-(59/157)</f>
        <v>0.62420382165605093</v>
      </c>
      <c r="F17" s="109"/>
      <c r="G17" s="107"/>
      <c r="H17" s="111"/>
      <c r="I17" s="105"/>
    </row>
    <row r="18" spans="1:13" ht="14" customHeight="1">
      <c r="B18" s="116" t="s">
        <v>135</v>
      </c>
      <c r="C18" s="48" t="s">
        <v>83</v>
      </c>
      <c r="D18" s="50" t="s">
        <v>92</v>
      </c>
      <c r="E18" s="49">
        <f>1-(107/328)</f>
        <v>0.67378048780487809</v>
      </c>
      <c r="F18" s="100">
        <v>2.9999999999999997E-4</v>
      </c>
      <c r="G18" s="93"/>
      <c r="H18" s="102"/>
      <c r="I18" s="113" t="s">
        <v>12</v>
      </c>
      <c r="K18" s="72"/>
      <c r="L18" s="72"/>
      <c r="M18" s="72"/>
    </row>
    <row r="19" spans="1:13" ht="14" customHeight="1">
      <c r="B19" s="116"/>
      <c r="C19" s="48" t="s">
        <v>82</v>
      </c>
      <c r="D19" s="50" t="s">
        <v>91</v>
      </c>
      <c r="E19" s="49">
        <f>1-(36/91)</f>
        <v>0.60439560439560447</v>
      </c>
      <c r="F19" s="100"/>
      <c r="G19" s="93"/>
      <c r="H19" s="102"/>
      <c r="I19" s="113"/>
      <c r="K19" s="72"/>
      <c r="L19" s="72"/>
      <c r="M19" s="72"/>
    </row>
    <row r="20" spans="1:13" ht="14" customHeight="1">
      <c r="B20" s="115" t="s">
        <v>18</v>
      </c>
      <c r="C20" s="56" t="s">
        <v>19</v>
      </c>
      <c r="D20" s="57" t="s">
        <v>96</v>
      </c>
      <c r="E20" s="58">
        <f>1-(100/325)</f>
        <v>0.69230769230769229</v>
      </c>
      <c r="F20" s="109">
        <v>4.4000000000000003E-3</v>
      </c>
      <c r="G20" s="103"/>
      <c r="H20" s="101"/>
      <c r="I20" s="105" t="s">
        <v>12</v>
      </c>
    </row>
    <row r="21" spans="1:13" ht="14" customHeight="1">
      <c r="B21" s="115"/>
      <c r="C21" s="56" t="s">
        <v>20</v>
      </c>
      <c r="D21" s="57" t="s">
        <v>97</v>
      </c>
      <c r="E21" s="58">
        <f>1-(43/100)</f>
        <v>0.57000000000000006</v>
      </c>
      <c r="F21" s="109"/>
      <c r="G21" s="103"/>
      <c r="H21" s="101"/>
      <c r="I21" s="105"/>
    </row>
    <row r="22" spans="1:13" ht="14" customHeight="1">
      <c r="B22" s="116" t="s">
        <v>89</v>
      </c>
      <c r="C22" s="48" t="s">
        <v>49</v>
      </c>
      <c r="D22" s="50" t="s">
        <v>93</v>
      </c>
      <c r="E22" s="49">
        <f>1-(19/71)</f>
        <v>0.73239436619718312</v>
      </c>
      <c r="F22" s="100">
        <v>4.0000000000000001E-3</v>
      </c>
      <c r="G22" s="93"/>
      <c r="H22" s="102"/>
      <c r="I22" s="113" t="s">
        <v>12</v>
      </c>
    </row>
    <row r="23" spans="1:13" ht="14" customHeight="1">
      <c r="B23" s="116"/>
      <c r="C23" s="48" t="s">
        <v>50</v>
      </c>
      <c r="D23" s="50" t="s">
        <v>94</v>
      </c>
      <c r="E23" s="49">
        <f>1-(115/345)</f>
        <v>0.66666666666666674</v>
      </c>
      <c r="F23" s="100"/>
      <c r="G23" s="93"/>
      <c r="H23" s="102"/>
      <c r="I23" s="113"/>
    </row>
    <row r="24" spans="1:13" ht="14" customHeight="1">
      <c r="B24" s="115" t="s">
        <v>133</v>
      </c>
      <c r="C24" s="56" t="s">
        <v>122</v>
      </c>
      <c r="D24" s="57" t="s">
        <v>132</v>
      </c>
      <c r="E24" s="58">
        <f>1-(115/326)</f>
        <v>0.64723926380368102</v>
      </c>
      <c r="F24" s="104">
        <v>0.02</v>
      </c>
      <c r="G24" s="103"/>
      <c r="H24" s="101"/>
      <c r="I24" s="105"/>
    </row>
    <row r="25" spans="1:13" ht="14" customHeight="1">
      <c r="B25" s="115"/>
      <c r="C25" s="56" t="s">
        <v>121</v>
      </c>
      <c r="D25" s="57" t="s">
        <v>131</v>
      </c>
      <c r="E25" s="58">
        <f>1-(23/54)</f>
        <v>0.57407407407407407</v>
      </c>
      <c r="F25" s="104"/>
      <c r="G25" s="103"/>
      <c r="H25" s="101"/>
      <c r="I25" s="105"/>
    </row>
    <row r="26" spans="1:13" ht="14" customHeight="1">
      <c r="B26" s="116" t="s">
        <v>67</v>
      </c>
      <c r="C26" s="48" t="s">
        <v>115</v>
      </c>
      <c r="D26" s="50" t="s">
        <v>130</v>
      </c>
      <c r="E26" s="49">
        <f>1-(92/296)</f>
        <v>0.68918918918918926</v>
      </c>
      <c r="F26" s="113" t="s">
        <v>12</v>
      </c>
      <c r="G26" s="93"/>
      <c r="H26" s="102"/>
      <c r="I26" s="113"/>
    </row>
    <row r="27" spans="1:13" ht="14" customHeight="1" thickBot="1">
      <c r="B27" s="116"/>
      <c r="C27" s="48" t="s">
        <v>116</v>
      </c>
      <c r="D27" s="62" t="s">
        <v>129</v>
      </c>
      <c r="E27" s="63">
        <f>1-(53/133)</f>
        <v>0.60150375939849621</v>
      </c>
      <c r="F27" s="118"/>
      <c r="G27" s="119"/>
      <c r="H27" s="120"/>
      <c r="I27" s="118"/>
    </row>
    <row r="28" spans="1:13" s="59" customFormat="1" ht="10"/>
    <row r="29" spans="1:13" s="59" customFormat="1" ht="12" customHeight="1">
      <c r="B29" s="60" t="s">
        <v>77</v>
      </c>
    </row>
    <row r="30" spans="1:13" s="59" customFormat="1" ht="12" customHeight="1">
      <c r="A30" s="61">
        <v>1</v>
      </c>
      <c r="B30" s="59" t="s">
        <v>78</v>
      </c>
    </row>
    <row r="31" spans="1:13" s="59" customFormat="1" ht="12" customHeight="1">
      <c r="A31" s="61">
        <v>2</v>
      </c>
      <c r="B31" s="59" t="s">
        <v>87</v>
      </c>
    </row>
    <row r="32" spans="1:13" s="59" customFormat="1" ht="12" customHeight="1">
      <c r="A32" s="61">
        <v>3</v>
      </c>
      <c r="B32" s="59" t="s">
        <v>136</v>
      </c>
    </row>
    <row r="33" spans="1:9" s="59" customFormat="1" ht="12" customHeight="1">
      <c r="A33" s="61">
        <v>4</v>
      </c>
      <c r="B33" s="59" t="s">
        <v>86</v>
      </c>
    </row>
    <row r="34" spans="1:9" s="59" customFormat="1" ht="12" customHeight="1">
      <c r="A34" s="61">
        <v>5</v>
      </c>
      <c r="B34" s="59" t="s">
        <v>137</v>
      </c>
    </row>
    <row r="35" spans="1:9" s="59" customFormat="1" ht="10">
      <c r="A35" s="61">
        <v>5</v>
      </c>
      <c r="B35" s="59" t="s">
        <v>142</v>
      </c>
    </row>
    <row r="36" spans="1:9" ht="12" customHeight="1">
      <c r="A36" s="47"/>
    </row>
    <row r="37" spans="1:9">
      <c r="B37" s="117" t="s">
        <v>128</v>
      </c>
      <c r="C37" s="117"/>
      <c r="D37" s="117"/>
      <c r="E37" s="117"/>
      <c r="F37" s="117"/>
      <c r="G37" s="117"/>
      <c r="H37" s="117"/>
      <c r="I37" s="117"/>
    </row>
    <row r="38" spans="1:9">
      <c r="B38" s="117"/>
      <c r="C38" s="117"/>
      <c r="D38" s="117"/>
      <c r="E38" s="117"/>
      <c r="F38" s="117"/>
      <c r="G38" s="117"/>
      <c r="H38" s="117"/>
      <c r="I38" s="117"/>
    </row>
    <row r="39" spans="1:9">
      <c r="B39" s="117"/>
      <c r="C39" s="117"/>
      <c r="D39" s="117"/>
      <c r="E39" s="117"/>
      <c r="F39" s="117"/>
      <c r="G39" s="117"/>
      <c r="H39" s="117"/>
      <c r="I39" s="117"/>
    </row>
  </sheetData>
  <mergeCells count="54">
    <mergeCell ref="B37:I39"/>
    <mergeCell ref="B20:B21"/>
    <mergeCell ref="B22:B23"/>
    <mergeCell ref="B26:B27"/>
    <mergeCell ref="F26:F27"/>
    <mergeCell ref="I26:I27"/>
    <mergeCell ref="I22:I23"/>
    <mergeCell ref="F22:F23"/>
    <mergeCell ref="B24:B25"/>
    <mergeCell ref="G26:G27"/>
    <mergeCell ref="H20:H21"/>
    <mergeCell ref="H22:H23"/>
    <mergeCell ref="H24:H25"/>
    <mergeCell ref="H26:H27"/>
    <mergeCell ref="B6:B7"/>
    <mergeCell ref="F10:F12"/>
    <mergeCell ref="I8:I9"/>
    <mergeCell ref="I18:I19"/>
    <mergeCell ref="I20:I21"/>
    <mergeCell ref="I6:I7"/>
    <mergeCell ref="I15:I17"/>
    <mergeCell ref="F13:F14"/>
    <mergeCell ref="F18:F19"/>
    <mergeCell ref="F20:F21"/>
    <mergeCell ref="F6:F7"/>
    <mergeCell ref="B10:B12"/>
    <mergeCell ref="B13:B14"/>
    <mergeCell ref="B8:B9"/>
    <mergeCell ref="B15:B17"/>
    <mergeCell ref="B18:B19"/>
    <mergeCell ref="I13:I14"/>
    <mergeCell ref="F24:F25"/>
    <mergeCell ref="I24:I25"/>
    <mergeCell ref="G10:G12"/>
    <mergeCell ref="G13:G14"/>
    <mergeCell ref="G15:G17"/>
    <mergeCell ref="G18:G19"/>
    <mergeCell ref="G20:G21"/>
    <mergeCell ref="G22:G23"/>
    <mergeCell ref="G24:G25"/>
    <mergeCell ref="I10:I12"/>
    <mergeCell ref="F15:F17"/>
    <mergeCell ref="H10:H12"/>
    <mergeCell ref="H13:H14"/>
    <mergeCell ref="H15:H17"/>
    <mergeCell ref="H18:H19"/>
    <mergeCell ref="G8:G9"/>
    <mergeCell ref="D3:F3"/>
    <mergeCell ref="G3:I3"/>
    <mergeCell ref="D2:I2"/>
    <mergeCell ref="F8:F9"/>
    <mergeCell ref="H6:H7"/>
    <mergeCell ref="H8:H9"/>
    <mergeCell ref="G6:G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baseColWidth="10" defaultColWidth="8.6640625" defaultRowHeight="15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 Fig 3</vt:lpstr>
      <vt:lpstr>Sup Fig 4</vt:lpstr>
      <vt:lpstr>Sheet1</vt:lpstr>
    </vt:vector>
  </TitlesOfParts>
  <Company>UQ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 Saunus</dc:creator>
  <cp:lastModifiedBy>Peter Simpson</cp:lastModifiedBy>
  <dcterms:created xsi:type="dcterms:W3CDTF">2014-05-13T10:45:43Z</dcterms:created>
  <dcterms:modified xsi:type="dcterms:W3CDTF">2015-02-19T10:30:29Z</dcterms:modified>
</cp:coreProperties>
</file>