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cave\Documents\MSS-submitted\95. Mud Current Meter DSR-I\Latest\Submitted\"/>
    </mc:Choice>
  </mc:AlternateContent>
  <bookViews>
    <workbookView xWindow="0" yWindow="0" windowWidth="21765" windowHeight="11100" tabRatio="742" firstSheet="6" activeTab="6"/>
  </bookViews>
  <sheets>
    <sheet name="Summary" sheetId="9" r:id="rId1"/>
    <sheet name="dep bin calculator, 505, taudep" sheetId="1" state="hidden" r:id="rId2"/>
    <sheet name="505, taueros" sheetId="4" state="hidden" r:id="rId3"/>
    <sheet name="vAken(S) taudep" sheetId="5" state="hidden" r:id="rId4"/>
    <sheet name="VAken(S) taueros" sheetId="6" state="hidden" r:id="rId5"/>
    <sheet name="VAken(S) taueros C=^-2.5" sheetId="16" state="hidden" r:id="rId6"/>
    <sheet name="505 taudep, C=^-2.5" sheetId="7" r:id="rId7"/>
    <sheet name="506 taudep, C=^-2.5" sheetId="17" r:id="rId8"/>
    <sheet name="ISW II taudep, C=^-2.5" sheetId="18" r:id="rId9"/>
    <sheet name="505 taueros, C=^-2.5" sheetId="8" state="hidden" r:id="rId10"/>
    <sheet name="VAken(S)taudep, C=^-2.5" sheetId="15" r:id="rId11"/>
    <sheet name="Equations" sheetId="3" r:id="rId12"/>
    <sheet name="CM time % and input size " sheetId="2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5" i="15" l="1"/>
  <c r="AL6" i="15"/>
  <c r="AL7" i="15"/>
  <c r="AL8" i="15"/>
  <c r="AL9" i="15"/>
  <c r="AL10" i="15"/>
  <c r="AL11" i="15"/>
  <c r="AL18" i="15"/>
  <c r="AL19" i="15"/>
  <c r="AL20" i="15"/>
  <c r="AL21" i="15"/>
  <c r="AL22" i="15"/>
  <c r="AL23" i="15"/>
  <c r="AL24" i="15"/>
  <c r="AQ18" i="15"/>
  <c r="AQ19" i="15"/>
  <c r="AQ20" i="15"/>
  <c r="AQ21" i="15"/>
  <c r="AQ22" i="15"/>
  <c r="AQ23" i="15"/>
  <c r="AQ24" i="15"/>
  <c r="AQ5" i="15"/>
  <c r="AQ6" i="15"/>
  <c r="AQ7" i="15"/>
  <c r="AQ8" i="15"/>
  <c r="AQ9" i="15"/>
  <c r="AQ10" i="15"/>
  <c r="AQ11" i="15"/>
  <c r="AV5" i="15"/>
  <c r="AV6" i="15"/>
  <c r="AV7" i="15"/>
  <c r="AV8" i="15"/>
  <c r="AV9" i="15"/>
  <c r="AV10" i="15"/>
  <c r="AV11" i="15"/>
  <c r="AV18" i="15"/>
  <c r="AV19" i="15"/>
  <c r="AV20" i="15"/>
  <c r="AV21" i="15"/>
  <c r="AV22" i="15"/>
  <c r="AV23" i="15"/>
  <c r="AV24" i="15"/>
  <c r="AV17" i="15"/>
  <c r="AV4" i="15"/>
  <c r="AQ17" i="15"/>
  <c r="AQ4" i="15"/>
  <c r="AL17" i="15"/>
  <c r="AL4" i="15"/>
  <c r="AG18" i="15"/>
  <c r="AG19" i="15"/>
  <c r="AG20" i="15"/>
  <c r="AG21" i="15"/>
  <c r="AG22" i="15"/>
  <c r="AG23" i="15"/>
  <c r="AG24" i="15"/>
  <c r="AG5" i="15"/>
  <c r="AG6" i="15"/>
  <c r="AG7" i="15"/>
  <c r="AG8" i="15"/>
  <c r="AG9" i="15"/>
  <c r="AG10" i="15"/>
  <c r="AG11" i="15"/>
  <c r="AB18" i="15"/>
  <c r="AB19" i="15"/>
  <c r="AB20" i="15"/>
  <c r="AB21" i="15"/>
  <c r="AB22" i="15"/>
  <c r="AB23" i="15"/>
  <c r="AB24" i="15"/>
  <c r="AB5" i="15"/>
  <c r="AB6" i="15"/>
  <c r="AB7" i="15"/>
  <c r="AB8" i="15"/>
  <c r="AB9" i="15"/>
  <c r="AB10" i="15"/>
  <c r="AB11" i="15"/>
  <c r="W18" i="15"/>
  <c r="W19" i="15"/>
  <c r="W20" i="15"/>
  <c r="W21" i="15"/>
  <c r="W22" i="15"/>
  <c r="W23" i="15"/>
  <c r="W24" i="15"/>
  <c r="W5" i="15"/>
  <c r="W6" i="15"/>
  <c r="W7" i="15"/>
  <c r="W8" i="15"/>
  <c r="W9" i="15"/>
  <c r="W10" i="15"/>
  <c r="W11" i="15"/>
  <c r="R18" i="15"/>
  <c r="R19" i="15"/>
  <c r="R20" i="15"/>
  <c r="R21" i="15"/>
  <c r="R22" i="15"/>
  <c r="R23" i="15"/>
  <c r="R24" i="15"/>
  <c r="R5" i="15"/>
  <c r="R6" i="15"/>
  <c r="R7" i="15"/>
  <c r="R8" i="15"/>
  <c r="R9" i="15"/>
  <c r="R10" i="15"/>
  <c r="R11" i="15"/>
  <c r="AG17" i="15"/>
  <c r="AG4" i="15"/>
  <c r="AB17" i="15"/>
  <c r="AB4" i="15"/>
  <c r="W4" i="15"/>
  <c r="W17" i="15"/>
  <c r="R17" i="15"/>
  <c r="R4" i="15"/>
  <c r="AQ18" i="18"/>
  <c r="AQ19" i="18"/>
  <c r="AQ20" i="18"/>
  <c r="AQ21" i="18"/>
  <c r="AQ22" i="18"/>
  <c r="AQ23" i="18"/>
  <c r="AQ24" i="18"/>
  <c r="AQ5" i="18"/>
  <c r="AQ6" i="18"/>
  <c r="AQ7" i="18"/>
  <c r="AQ8" i="18"/>
  <c r="AQ9" i="18"/>
  <c r="AQ10" i="18"/>
  <c r="AQ11" i="18"/>
  <c r="AL5" i="18"/>
  <c r="AL6" i="18"/>
  <c r="AL7" i="18"/>
  <c r="AL8" i="18"/>
  <c r="AL9" i="18"/>
  <c r="AL10" i="18"/>
  <c r="AL11" i="18"/>
  <c r="AL18" i="18"/>
  <c r="AL19" i="18"/>
  <c r="AL20" i="18"/>
  <c r="AL21" i="18"/>
  <c r="AL22" i="18"/>
  <c r="AL23" i="18"/>
  <c r="AL24" i="18"/>
  <c r="AG18" i="18"/>
  <c r="AG19" i="18"/>
  <c r="AG20" i="18"/>
  <c r="AG21" i="18"/>
  <c r="AG22" i="18"/>
  <c r="AG23" i="18"/>
  <c r="AG24" i="18"/>
  <c r="AG5" i="18"/>
  <c r="AG6" i="18"/>
  <c r="AG7" i="18"/>
  <c r="AG8" i="18"/>
  <c r="AG9" i="18"/>
  <c r="AG10" i="18"/>
  <c r="AG11" i="18"/>
  <c r="AQ17" i="18"/>
  <c r="AQ4" i="18"/>
  <c r="AL4" i="18"/>
  <c r="AL17" i="18"/>
  <c r="AG17" i="18"/>
  <c r="AG4" i="18"/>
  <c r="AB18" i="18"/>
  <c r="AB19" i="18"/>
  <c r="AB20" i="18"/>
  <c r="AB21" i="18"/>
  <c r="AB22" i="18"/>
  <c r="AB23" i="18"/>
  <c r="AB24" i="18"/>
  <c r="AB5" i="18"/>
  <c r="AB6" i="18"/>
  <c r="AB7" i="18"/>
  <c r="AB8" i="18"/>
  <c r="AB9" i="18"/>
  <c r="AB10" i="18"/>
  <c r="AB11" i="18"/>
  <c r="W18" i="18"/>
  <c r="W19" i="18"/>
  <c r="W20" i="18"/>
  <c r="W21" i="18"/>
  <c r="W22" i="18"/>
  <c r="W23" i="18"/>
  <c r="W24" i="18"/>
  <c r="W5" i="18"/>
  <c r="W6" i="18"/>
  <c r="W7" i="18"/>
  <c r="W8" i="18"/>
  <c r="W9" i="18"/>
  <c r="W10" i="18"/>
  <c r="W11" i="18"/>
  <c r="R18" i="18"/>
  <c r="R19" i="18"/>
  <c r="R20" i="18"/>
  <c r="R21" i="18"/>
  <c r="R22" i="18"/>
  <c r="R23" i="18"/>
  <c r="R24" i="18"/>
  <c r="R5" i="18"/>
  <c r="R6" i="18"/>
  <c r="R7" i="18"/>
  <c r="R8" i="18"/>
  <c r="R9" i="18"/>
  <c r="R10" i="18"/>
  <c r="R11" i="18"/>
  <c r="M5" i="18"/>
  <c r="M6" i="18"/>
  <c r="M7" i="18"/>
  <c r="M8" i="18"/>
  <c r="M9" i="18"/>
  <c r="M10" i="18"/>
  <c r="M11" i="18"/>
  <c r="AB17" i="18"/>
  <c r="AB4" i="18"/>
  <c r="W17" i="18"/>
  <c r="W4" i="18"/>
  <c r="R17" i="18"/>
  <c r="R4" i="18"/>
  <c r="M4" i="18"/>
  <c r="M18" i="17"/>
  <c r="M19" i="17"/>
  <c r="M20" i="17"/>
  <c r="M21" i="17"/>
  <c r="M22" i="17"/>
  <c r="M23" i="17"/>
  <c r="M24" i="17"/>
  <c r="M17" i="17"/>
  <c r="G18" i="18"/>
  <c r="G19" i="18"/>
  <c r="G20" i="18"/>
  <c r="G21" i="18"/>
  <c r="G22" i="18"/>
  <c r="G23" i="18"/>
  <c r="G24" i="18"/>
  <c r="G25" i="18"/>
  <c r="G17" i="18"/>
  <c r="R18" i="17"/>
  <c r="R19" i="17"/>
  <c r="R20" i="17"/>
  <c r="R21" i="17"/>
  <c r="R22" i="17"/>
  <c r="R23" i="17"/>
  <c r="R24" i="17"/>
  <c r="W18" i="17"/>
  <c r="W19" i="17"/>
  <c r="W20" i="17"/>
  <c r="W21" i="17"/>
  <c r="W22" i="17"/>
  <c r="W23" i="17"/>
  <c r="W24" i="17"/>
  <c r="AB18" i="17"/>
  <c r="AB19" i="17"/>
  <c r="AB20" i="17"/>
  <c r="AB21" i="17"/>
  <c r="AB22" i="17"/>
  <c r="AB23" i="17"/>
  <c r="AB24" i="17"/>
  <c r="AG18" i="17"/>
  <c r="AG19" i="17"/>
  <c r="AG20" i="17"/>
  <c r="AG21" i="17"/>
  <c r="AG22" i="17"/>
  <c r="AG23" i="17"/>
  <c r="AG24" i="17"/>
  <c r="AL18" i="17"/>
  <c r="AL19" i="17"/>
  <c r="AL20" i="17"/>
  <c r="AL21" i="17"/>
  <c r="AL22" i="17"/>
  <c r="AL23" i="17"/>
  <c r="AL24" i="17"/>
  <c r="AQ18" i="17"/>
  <c r="AQ19" i="17"/>
  <c r="AQ20" i="17"/>
  <c r="AQ21" i="17"/>
  <c r="AQ22" i="17"/>
  <c r="AQ23" i="17"/>
  <c r="AQ24" i="17"/>
  <c r="AQ17" i="17"/>
  <c r="AL17" i="17"/>
  <c r="AG17" i="17"/>
  <c r="AB17" i="17"/>
  <c r="W17" i="17"/>
  <c r="R17" i="17"/>
  <c r="AQ5" i="17" l="1"/>
  <c r="AQ6" i="17"/>
  <c r="AQ7" i="17"/>
  <c r="AQ8" i="17"/>
  <c r="AQ9" i="17"/>
  <c r="AQ10" i="17"/>
  <c r="AQ11" i="17"/>
  <c r="AL5" i="17"/>
  <c r="AL6" i="17"/>
  <c r="AL7" i="17"/>
  <c r="AL8" i="17"/>
  <c r="AL9" i="17"/>
  <c r="AL10" i="17"/>
  <c r="AL11" i="17"/>
  <c r="AQ4" i="17"/>
  <c r="AL4" i="17"/>
  <c r="AG5" i="17"/>
  <c r="AG6" i="17"/>
  <c r="AG7" i="17"/>
  <c r="AG8" i="17"/>
  <c r="AG9" i="17"/>
  <c r="AG10" i="17"/>
  <c r="AG11" i="17"/>
  <c r="AB5" i="17"/>
  <c r="AB6" i="17"/>
  <c r="AB7" i="17"/>
  <c r="AB8" i="17"/>
  <c r="AB9" i="17"/>
  <c r="AB10" i="17"/>
  <c r="AB11" i="17"/>
  <c r="W5" i="17"/>
  <c r="W6" i="17"/>
  <c r="W7" i="17"/>
  <c r="W8" i="17"/>
  <c r="W9" i="17"/>
  <c r="W10" i="17"/>
  <c r="W11" i="17"/>
  <c r="AG4" i="17"/>
  <c r="AB4" i="17"/>
  <c r="W4" i="17"/>
  <c r="R5" i="17"/>
  <c r="R6" i="17"/>
  <c r="R7" i="17"/>
  <c r="R8" i="17"/>
  <c r="R9" i="17"/>
  <c r="R10" i="17"/>
  <c r="R11" i="17"/>
  <c r="R4" i="17"/>
  <c r="M4" i="17"/>
  <c r="M5" i="17"/>
  <c r="M6" i="17"/>
  <c r="M7" i="17"/>
  <c r="M8" i="17"/>
  <c r="M9" i="17"/>
  <c r="M10" i="17"/>
  <c r="M11" i="17"/>
  <c r="G24" i="17"/>
  <c r="G23" i="17"/>
  <c r="G22" i="17"/>
  <c r="G21" i="17"/>
  <c r="G20" i="17"/>
  <c r="G19" i="17"/>
  <c r="G18" i="17"/>
  <c r="G17" i="17"/>
  <c r="G11" i="17"/>
  <c r="G10" i="17"/>
  <c r="G9" i="17"/>
  <c r="G8" i="17"/>
  <c r="G7" i="17"/>
  <c r="G6" i="17"/>
  <c r="G5" i="17"/>
  <c r="G4" i="17"/>
  <c r="D4" i="17"/>
  <c r="H4" i="17" s="1"/>
  <c r="I4" i="17" s="1"/>
  <c r="F4" i="17"/>
  <c r="D5" i="17"/>
  <c r="H5" i="17" s="1"/>
  <c r="I5" i="17" s="1"/>
  <c r="F5" i="17"/>
  <c r="D6" i="17"/>
  <c r="H6" i="17" s="1"/>
  <c r="I6" i="17" s="1"/>
  <c r="F6" i="17"/>
  <c r="D7" i="17"/>
  <c r="H7" i="17" s="1"/>
  <c r="I7" i="17" s="1"/>
  <c r="F7" i="17"/>
  <c r="D8" i="17"/>
  <c r="H8" i="17" s="1"/>
  <c r="I8" i="17" s="1"/>
  <c r="F8" i="17"/>
  <c r="D9" i="17"/>
  <c r="H9" i="17" s="1"/>
  <c r="I9" i="17" s="1"/>
  <c r="F9" i="17"/>
  <c r="D10" i="17"/>
  <c r="H10" i="17" s="1"/>
  <c r="I10" i="17" s="1"/>
  <c r="F10" i="17"/>
  <c r="D11" i="17"/>
  <c r="H11" i="17" s="1"/>
  <c r="I11" i="17" s="1"/>
  <c r="F11" i="17"/>
  <c r="J12" i="17"/>
  <c r="AQ5" i="7"/>
  <c r="AQ6" i="7"/>
  <c r="AQ7" i="7"/>
  <c r="AQ8" i="7"/>
  <c r="AQ9" i="7"/>
  <c r="AQ10" i="7"/>
  <c r="AQ11" i="7"/>
  <c r="AQ4" i="7"/>
  <c r="AL5" i="7"/>
  <c r="AL6" i="7"/>
  <c r="AL7" i="7"/>
  <c r="AL8" i="7"/>
  <c r="AL9" i="7"/>
  <c r="AL10" i="7"/>
  <c r="AL11" i="7"/>
  <c r="AL4" i="7"/>
  <c r="AG5" i="7"/>
  <c r="AG6" i="7"/>
  <c r="AG7" i="7"/>
  <c r="AG8" i="7"/>
  <c r="AG9" i="7"/>
  <c r="AG10" i="7"/>
  <c r="AG11" i="7"/>
  <c r="AG4" i="7"/>
  <c r="AB5" i="7"/>
  <c r="AB6" i="7"/>
  <c r="AB7" i="7"/>
  <c r="AB8" i="7"/>
  <c r="AB9" i="7"/>
  <c r="AB10" i="7"/>
  <c r="AB11" i="7"/>
  <c r="AB4" i="7"/>
  <c r="W11" i="7"/>
  <c r="W10" i="7"/>
  <c r="W9" i="7"/>
  <c r="W8" i="7"/>
  <c r="W7" i="7"/>
  <c r="W6" i="7"/>
  <c r="W5" i="7"/>
  <c r="W4" i="7"/>
  <c r="R11" i="7"/>
  <c r="R10" i="7"/>
  <c r="R9" i="7"/>
  <c r="R8" i="7"/>
  <c r="R7" i="7"/>
  <c r="R6" i="7"/>
  <c r="R5" i="7"/>
  <c r="R4" i="7"/>
  <c r="M6" i="7"/>
  <c r="M7" i="7"/>
  <c r="M8" i="7"/>
  <c r="M9" i="7"/>
  <c r="M10" i="7"/>
  <c r="M11" i="7"/>
  <c r="M4" i="7"/>
  <c r="M5" i="7"/>
  <c r="O15" i="3"/>
  <c r="O14" i="3"/>
  <c r="O13" i="3"/>
  <c r="O12" i="3"/>
  <c r="O11" i="3"/>
  <c r="O10" i="3"/>
  <c r="O9" i="3"/>
  <c r="O8" i="3"/>
  <c r="O7" i="3"/>
  <c r="I8" i="3"/>
  <c r="I9" i="3"/>
  <c r="I10" i="3"/>
  <c r="I11" i="3"/>
  <c r="I12" i="3"/>
  <c r="I13" i="3"/>
  <c r="I14" i="3"/>
  <c r="I15" i="3"/>
  <c r="I7" i="3"/>
  <c r="G18" i="7"/>
  <c r="G19" i="7"/>
  <c r="G20" i="7"/>
  <c r="G21" i="7"/>
  <c r="G22" i="7"/>
  <c r="G23" i="7"/>
  <c r="G24" i="7"/>
  <c r="G17" i="7"/>
  <c r="G5" i="7"/>
  <c r="G6" i="7"/>
  <c r="G7" i="7"/>
  <c r="G8" i="7"/>
  <c r="G9" i="7"/>
  <c r="G10" i="7"/>
  <c r="G11" i="7"/>
  <c r="G4" i="7"/>
  <c r="J25" i="15" l="1"/>
  <c r="M24" i="15"/>
  <c r="F24" i="15"/>
  <c r="D24" i="15"/>
  <c r="H24" i="15" s="1"/>
  <c r="M23" i="15"/>
  <c r="F23" i="15"/>
  <c r="D23" i="15"/>
  <c r="H23" i="15" s="1"/>
  <c r="M22" i="15"/>
  <c r="F22" i="15"/>
  <c r="D22" i="15"/>
  <c r="H22" i="15" s="1"/>
  <c r="AW22" i="15" s="1"/>
  <c r="AX22" i="15" s="1"/>
  <c r="M21" i="15"/>
  <c r="F21" i="15"/>
  <c r="D21" i="15"/>
  <c r="H21" i="15" s="1"/>
  <c r="M20" i="15"/>
  <c r="F20" i="15"/>
  <c r="D20" i="15"/>
  <c r="H20" i="15" s="1"/>
  <c r="M19" i="15"/>
  <c r="F19" i="15"/>
  <c r="D19" i="15"/>
  <c r="H19" i="15" s="1"/>
  <c r="M18" i="15"/>
  <c r="F18" i="15"/>
  <c r="D18" i="15"/>
  <c r="H18" i="15" s="1"/>
  <c r="M17" i="15"/>
  <c r="F17" i="15"/>
  <c r="D17" i="15"/>
  <c r="H17" i="15" s="1"/>
  <c r="AZ15" i="15"/>
  <c r="J25" i="18"/>
  <c r="F24" i="18"/>
  <c r="D24" i="18"/>
  <c r="H24" i="18" s="1"/>
  <c r="F23" i="18"/>
  <c r="D23" i="18"/>
  <c r="H23" i="18" s="1"/>
  <c r="F22" i="18"/>
  <c r="D22" i="18"/>
  <c r="H22" i="18" s="1"/>
  <c r="F21" i="18"/>
  <c r="D21" i="18"/>
  <c r="H21" i="18" s="1"/>
  <c r="AC21" i="18" s="1"/>
  <c r="AD21" i="18" s="1"/>
  <c r="F20" i="18"/>
  <c r="D20" i="18"/>
  <c r="H20" i="18" s="1"/>
  <c r="F19" i="18"/>
  <c r="D19" i="18"/>
  <c r="H19" i="18" s="1"/>
  <c r="AC19" i="18" s="1"/>
  <c r="AD19" i="18" s="1"/>
  <c r="F18" i="18"/>
  <c r="D18" i="18"/>
  <c r="H18" i="18" s="1"/>
  <c r="I17" i="18"/>
  <c r="F17" i="18"/>
  <c r="D17" i="18"/>
  <c r="H17" i="18" s="1"/>
  <c r="AU15" i="18"/>
  <c r="J25" i="17"/>
  <c r="F24" i="17"/>
  <c r="D24" i="17"/>
  <c r="H24" i="17" s="1"/>
  <c r="F23" i="17"/>
  <c r="D23" i="17"/>
  <c r="H23" i="17" s="1"/>
  <c r="F22" i="17"/>
  <c r="D22" i="17"/>
  <c r="H22" i="17" s="1"/>
  <c r="F21" i="17"/>
  <c r="D21" i="17"/>
  <c r="H21" i="17" s="1"/>
  <c r="F20" i="17"/>
  <c r="D20" i="17"/>
  <c r="H20" i="17" s="1"/>
  <c r="F19" i="17"/>
  <c r="D19" i="17"/>
  <c r="H19" i="17" s="1"/>
  <c r="F18" i="17"/>
  <c r="D18" i="17"/>
  <c r="H18" i="17" s="1"/>
  <c r="F17" i="17"/>
  <c r="D17" i="17"/>
  <c r="H17" i="17" s="1"/>
  <c r="J25" i="7"/>
  <c r="AQ24" i="7"/>
  <c r="AL24" i="7"/>
  <c r="AG24" i="7"/>
  <c r="AB24" i="7"/>
  <c r="W24" i="7"/>
  <c r="R24" i="7"/>
  <c r="M24" i="7"/>
  <c r="F24" i="7"/>
  <c r="D24" i="7"/>
  <c r="H24" i="7" s="1"/>
  <c r="I24" i="7" s="1"/>
  <c r="AQ23" i="7"/>
  <c r="AL23" i="7"/>
  <c r="AG23" i="7"/>
  <c r="AB23" i="7"/>
  <c r="W23" i="7"/>
  <c r="R23" i="7"/>
  <c r="M23" i="7"/>
  <c r="F23" i="7"/>
  <c r="D23" i="7"/>
  <c r="H23" i="7" s="1"/>
  <c r="I23" i="7" s="1"/>
  <c r="AQ22" i="7"/>
  <c r="AL22" i="7"/>
  <c r="AG22" i="7"/>
  <c r="AB22" i="7"/>
  <c r="W22" i="7"/>
  <c r="R22" i="7"/>
  <c r="M22" i="7"/>
  <c r="F22" i="7"/>
  <c r="D22" i="7"/>
  <c r="H22" i="7" s="1"/>
  <c r="I22" i="7" s="1"/>
  <c r="AQ21" i="7"/>
  <c r="AL21" i="7"/>
  <c r="AG21" i="7"/>
  <c r="AB21" i="7"/>
  <c r="W21" i="7"/>
  <c r="R21" i="7"/>
  <c r="M21" i="7"/>
  <c r="F21" i="7"/>
  <c r="D21" i="7"/>
  <c r="H21" i="7" s="1"/>
  <c r="I21" i="7" s="1"/>
  <c r="AQ20" i="7"/>
  <c r="AL20" i="7"/>
  <c r="AG20" i="7"/>
  <c r="AB20" i="7"/>
  <c r="W20" i="7"/>
  <c r="R20" i="7"/>
  <c r="M20" i="7"/>
  <c r="F20" i="7"/>
  <c r="D20" i="7"/>
  <c r="H20" i="7" s="1"/>
  <c r="I20" i="7" s="1"/>
  <c r="AQ19" i="7"/>
  <c r="AL19" i="7"/>
  <c r="AG19" i="7"/>
  <c r="AB19" i="7"/>
  <c r="W19" i="7"/>
  <c r="R19" i="7"/>
  <c r="M19" i="7"/>
  <c r="F19" i="7"/>
  <c r="D19" i="7"/>
  <c r="AQ18" i="7"/>
  <c r="AL18" i="7"/>
  <c r="AG18" i="7"/>
  <c r="AB18" i="7"/>
  <c r="W18" i="7"/>
  <c r="R18" i="7"/>
  <c r="M18" i="7"/>
  <c r="F18" i="7"/>
  <c r="D18" i="7"/>
  <c r="H18" i="7" s="1"/>
  <c r="I18" i="7" s="1"/>
  <c r="AQ17" i="7"/>
  <c r="AL17" i="7"/>
  <c r="AG17" i="7"/>
  <c r="AB17" i="7"/>
  <c r="W17" i="7"/>
  <c r="R17" i="7"/>
  <c r="M17" i="7"/>
  <c r="F17" i="7"/>
  <c r="D17" i="7"/>
  <c r="H17" i="7" s="1"/>
  <c r="I17" i="7" s="1"/>
  <c r="X17" i="15" l="1"/>
  <c r="AH23" i="18"/>
  <c r="AI23" i="18" s="1"/>
  <c r="AR23" i="18"/>
  <c r="AC20" i="18"/>
  <c r="AD20" i="18" s="1"/>
  <c r="AR24" i="18"/>
  <c r="AM20" i="15"/>
  <c r="AN20" i="15" s="1"/>
  <c r="AH17" i="15"/>
  <c r="AI17" i="15" s="1"/>
  <c r="AW20" i="15"/>
  <c r="AX20" i="15" s="1"/>
  <c r="AM22" i="15"/>
  <c r="AN22" i="15" s="1"/>
  <c r="AC22" i="18"/>
  <c r="AD22" i="18" s="1"/>
  <c r="AR20" i="18"/>
  <c r="AS20" i="18" s="1"/>
  <c r="X22" i="18"/>
  <c r="Y22" i="18" s="1"/>
  <c r="AR19" i="18"/>
  <c r="AS19" i="18" s="1"/>
  <c r="AR21" i="18"/>
  <c r="AS21" i="18" s="1"/>
  <c r="AC23" i="18"/>
  <c r="AD23" i="18" s="1"/>
  <c r="AC24" i="17"/>
  <c r="AD24" i="17" s="1"/>
  <c r="X24" i="17"/>
  <c r="Y24" i="17" s="1"/>
  <c r="AM20" i="17"/>
  <c r="AN20" i="17" s="1"/>
  <c r="S23" i="17"/>
  <c r="T23" i="17" s="1"/>
  <c r="S18" i="17"/>
  <c r="S20" i="17"/>
  <c r="AC17" i="17"/>
  <c r="AD17" i="17" s="1"/>
  <c r="AH19" i="17"/>
  <c r="AI19" i="17" s="1"/>
  <c r="I20" i="17"/>
  <c r="AR21" i="17"/>
  <c r="AS21" i="17" s="1"/>
  <c r="X21" i="17"/>
  <c r="Y21" i="17" s="1"/>
  <c r="AM21" i="17"/>
  <c r="AN21" i="17" s="1"/>
  <c r="I21" i="17"/>
  <c r="AH20" i="17"/>
  <c r="AI20" i="17" s="1"/>
  <c r="N22" i="17"/>
  <c r="S19" i="17"/>
  <c r="AR18" i="17"/>
  <c r="AS18" i="17" s="1"/>
  <c r="H19" i="7"/>
  <c r="I19" i="7" s="1"/>
  <c r="AH17" i="7"/>
  <c r="AI17" i="7" s="1"/>
  <c r="AH18" i="7"/>
  <c r="AI18" i="7" s="1"/>
  <c r="AR23" i="7"/>
  <c r="AS23" i="7" s="1"/>
  <c r="AR17" i="7"/>
  <c r="AS17" i="7" s="1"/>
  <c r="AH23" i="7"/>
  <c r="AI23" i="7" s="1"/>
  <c r="AR18" i="7"/>
  <c r="AS18" i="7" s="1"/>
  <c r="AH22" i="7"/>
  <c r="AI22" i="7" s="1"/>
  <c r="AW18" i="15"/>
  <c r="AX18" i="15" s="1"/>
  <c r="X18" i="15"/>
  <c r="AR18" i="15"/>
  <c r="AS18" i="15" s="1"/>
  <c r="AC18" i="15"/>
  <c r="S18" i="15"/>
  <c r="I18" i="15"/>
  <c r="AH18" i="15"/>
  <c r="AI18" i="15" s="1"/>
  <c r="N18" i="15"/>
  <c r="AM18" i="15"/>
  <c r="AN18" i="15" s="1"/>
  <c r="N17" i="15"/>
  <c r="AM19" i="15"/>
  <c r="AN19" i="15" s="1"/>
  <c r="X19" i="15"/>
  <c r="N19" i="15"/>
  <c r="AW19" i="15"/>
  <c r="AX19" i="15" s="1"/>
  <c r="AC19" i="15"/>
  <c r="AD19" i="15" s="1"/>
  <c r="S19" i="15"/>
  <c r="I19" i="15"/>
  <c r="AH19" i="15"/>
  <c r="AI19" i="15" s="1"/>
  <c r="AR19" i="15"/>
  <c r="AS19" i="15" s="1"/>
  <c r="AM24" i="15"/>
  <c r="N24" i="15"/>
  <c r="AW24" i="15"/>
  <c r="AC24" i="15"/>
  <c r="AH24" i="15"/>
  <c r="S24" i="15"/>
  <c r="I24" i="15"/>
  <c r="AR24" i="15"/>
  <c r="X24" i="15"/>
  <c r="AM21" i="15"/>
  <c r="AN21" i="15" s="1"/>
  <c r="X21" i="15"/>
  <c r="N21" i="15"/>
  <c r="AR21" i="15"/>
  <c r="AS21" i="15" s="1"/>
  <c r="AW21" i="15"/>
  <c r="AX21" i="15" s="1"/>
  <c r="AC21" i="15"/>
  <c r="AD21" i="15" s="1"/>
  <c r="S21" i="15"/>
  <c r="I21" i="15"/>
  <c r="AH21" i="15"/>
  <c r="AI21" i="15" s="1"/>
  <c r="AR17" i="15"/>
  <c r="AS17" i="15" s="1"/>
  <c r="AR23" i="15"/>
  <c r="AS23" i="15" s="1"/>
  <c r="X23" i="15"/>
  <c r="Y23" i="15" s="1"/>
  <c r="N23" i="15"/>
  <c r="AW23" i="15"/>
  <c r="AX23" i="15" s="1"/>
  <c r="AH23" i="15"/>
  <c r="AI23" i="15" s="1"/>
  <c r="S23" i="15"/>
  <c r="I23" i="15"/>
  <c r="AM23" i="15"/>
  <c r="AN23" i="15" s="1"/>
  <c r="AC23" i="15"/>
  <c r="AD23" i="15" s="1"/>
  <c r="AW17" i="15"/>
  <c r="AX17" i="15" s="1"/>
  <c r="AH20" i="15"/>
  <c r="AI20" i="15" s="1"/>
  <c r="AM17" i="15"/>
  <c r="AN17" i="15" s="1"/>
  <c r="AR20" i="15"/>
  <c r="AS20" i="15" s="1"/>
  <c r="AR22" i="15"/>
  <c r="AS22" i="15" s="1"/>
  <c r="N20" i="15"/>
  <c r="X20" i="15"/>
  <c r="N22" i="15"/>
  <c r="X22" i="15"/>
  <c r="AH22" i="15"/>
  <c r="AI22" i="15" s="1"/>
  <c r="I17" i="15"/>
  <c r="S17" i="15"/>
  <c r="AC17" i="15"/>
  <c r="I20" i="15"/>
  <c r="S20" i="15"/>
  <c r="AC20" i="15"/>
  <c r="AD20" i="15" s="1"/>
  <c r="I22" i="15"/>
  <c r="S22" i="15"/>
  <c r="AC22" i="15"/>
  <c r="AD22" i="15" s="1"/>
  <c r="AM24" i="18"/>
  <c r="S24" i="18"/>
  <c r="I24" i="18"/>
  <c r="X24" i="18"/>
  <c r="AC24" i="18"/>
  <c r="N24" i="18"/>
  <c r="AH24" i="18"/>
  <c r="AH17" i="18"/>
  <c r="AI17" i="18" s="1"/>
  <c r="AR17" i="18"/>
  <c r="AS17" i="18" s="1"/>
  <c r="AM17" i="18"/>
  <c r="AN17" i="18" s="1"/>
  <c r="X17" i="18"/>
  <c r="N17" i="18"/>
  <c r="AC17" i="18"/>
  <c r="AD17" i="18" s="1"/>
  <c r="S17" i="18"/>
  <c r="AC18" i="18"/>
  <c r="AD18" i="18" s="1"/>
  <c r="S18" i="18"/>
  <c r="I18" i="18"/>
  <c r="AM18" i="18"/>
  <c r="AN18" i="18" s="1"/>
  <c r="X18" i="18"/>
  <c r="AH18" i="18"/>
  <c r="AI18" i="18" s="1"/>
  <c r="N18" i="18"/>
  <c r="AR18" i="18"/>
  <c r="AS18" i="18" s="1"/>
  <c r="N19" i="18"/>
  <c r="X19" i="18"/>
  <c r="Y19" i="18" s="1"/>
  <c r="X20" i="18"/>
  <c r="Y20" i="18" s="1"/>
  <c r="X21" i="18"/>
  <c r="Y21" i="18" s="1"/>
  <c r="N22" i="18"/>
  <c r="AR22" i="18"/>
  <c r="AS22" i="18" s="1"/>
  <c r="N23" i="18"/>
  <c r="AM20" i="18"/>
  <c r="AN20" i="18" s="1"/>
  <c r="AM21" i="18"/>
  <c r="AN21" i="18" s="1"/>
  <c r="AM22" i="18"/>
  <c r="AN22" i="18" s="1"/>
  <c r="X23" i="18"/>
  <c r="Y23" i="18" s="1"/>
  <c r="AS23" i="18"/>
  <c r="I19" i="18"/>
  <c r="S19" i="18"/>
  <c r="AH19" i="18"/>
  <c r="AI19" i="18" s="1"/>
  <c r="I20" i="18"/>
  <c r="S20" i="18"/>
  <c r="AH20" i="18"/>
  <c r="AI20" i="18" s="1"/>
  <c r="I21" i="18"/>
  <c r="S21" i="18"/>
  <c r="AH21" i="18"/>
  <c r="AI21" i="18" s="1"/>
  <c r="I22" i="18"/>
  <c r="S22" i="18"/>
  <c r="AH22" i="18"/>
  <c r="AI22" i="18" s="1"/>
  <c r="I23" i="18"/>
  <c r="S23" i="18"/>
  <c r="T23" i="18" s="1"/>
  <c r="AM23" i="18"/>
  <c r="AN23" i="18" s="1"/>
  <c r="N20" i="18"/>
  <c r="N21" i="18"/>
  <c r="AM19" i="18"/>
  <c r="AN19" i="18" s="1"/>
  <c r="AH22" i="17"/>
  <c r="AI22" i="17" s="1"/>
  <c r="S22" i="17"/>
  <c r="AM22" i="17"/>
  <c r="AN22" i="17" s="1"/>
  <c r="I22" i="17"/>
  <c r="AR22" i="17"/>
  <c r="AS22" i="17" s="1"/>
  <c r="AC22" i="17"/>
  <c r="AD22" i="17" s="1"/>
  <c r="AH18" i="17"/>
  <c r="AI18" i="17" s="1"/>
  <c r="I18" i="17"/>
  <c r="AM18" i="17"/>
  <c r="AN18" i="17" s="1"/>
  <c r="X18" i="17"/>
  <c r="N18" i="17"/>
  <c r="AC18" i="17"/>
  <c r="AD18" i="17" s="1"/>
  <c r="X22" i="17"/>
  <c r="Y22" i="17" s="1"/>
  <c r="AR23" i="17"/>
  <c r="X23" i="17"/>
  <c r="I23" i="17"/>
  <c r="AC23" i="17"/>
  <c r="AD23" i="17" s="1"/>
  <c r="N23" i="17"/>
  <c r="AH23" i="17"/>
  <c r="AI23" i="17" s="1"/>
  <c r="AH24" i="17"/>
  <c r="AM24" i="17"/>
  <c r="S24" i="17"/>
  <c r="AR24" i="17"/>
  <c r="I24" i="17"/>
  <c r="AH17" i="17"/>
  <c r="AI17" i="17" s="1"/>
  <c r="I17" i="17"/>
  <c r="AM17" i="17"/>
  <c r="AN17" i="17" s="1"/>
  <c r="X17" i="17"/>
  <c r="N17" i="17"/>
  <c r="S17" i="17"/>
  <c r="AR17" i="17"/>
  <c r="AS17" i="17" s="1"/>
  <c r="AM19" i="17"/>
  <c r="AN19" i="17" s="1"/>
  <c r="I19" i="17"/>
  <c r="AR19" i="17"/>
  <c r="AS19" i="17" s="1"/>
  <c r="X19" i="17"/>
  <c r="Y19" i="17" s="1"/>
  <c r="N19" i="17"/>
  <c r="AC19" i="17"/>
  <c r="AD19" i="17" s="1"/>
  <c r="AR20" i="17"/>
  <c r="AS20" i="17" s="1"/>
  <c r="X20" i="17"/>
  <c r="Y20" i="17" s="1"/>
  <c r="N20" i="17"/>
  <c r="AC20" i="17"/>
  <c r="AD20" i="17" s="1"/>
  <c r="AC21" i="17"/>
  <c r="AD21" i="17" s="1"/>
  <c r="AH21" i="17"/>
  <c r="AI21" i="17" s="1"/>
  <c r="S21" i="17"/>
  <c r="N21" i="17"/>
  <c r="AM23" i="17"/>
  <c r="N24" i="17"/>
  <c r="AC21" i="7"/>
  <c r="AD21" i="7" s="1"/>
  <c r="AM21" i="7"/>
  <c r="AN21" i="7" s="1"/>
  <c r="AR21" i="7"/>
  <c r="AS21" i="7" s="1"/>
  <c r="X21" i="7"/>
  <c r="Y21" i="7" s="1"/>
  <c r="N21" i="7"/>
  <c r="AH21" i="7"/>
  <c r="AI21" i="7" s="1"/>
  <c r="S21" i="7"/>
  <c r="AH24" i="7"/>
  <c r="AI24" i="7" s="1"/>
  <c r="AM24" i="7"/>
  <c r="AN24" i="7" s="1"/>
  <c r="S24" i="7"/>
  <c r="X24" i="7"/>
  <c r="Y24" i="7" s="1"/>
  <c r="AC24" i="7"/>
  <c r="AD24" i="7" s="1"/>
  <c r="N24" i="7"/>
  <c r="AR24" i="7"/>
  <c r="AS24" i="7" s="1"/>
  <c r="AR20" i="7"/>
  <c r="AS20" i="7" s="1"/>
  <c r="X20" i="7"/>
  <c r="Y20" i="7" s="1"/>
  <c r="N20" i="7"/>
  <c r="AH20" i="7"/>
  <c r="AI20" i="7" s="1"/>
  <c r="S20" i="7"/>
  <c r="AM20" i="7"/>
  <c r="AN20" i="7" s="1"/>
  <c r="AC20" i="7"/>
  <c r="AD20" i="7" s="1"/>
  <c r="X22" i="7"/>
  <c r="Y22" i="7" s="1"/>
  <c r="AM18" i="7"/>
  <c r="AN18" i="7" s="1"/>
  <c r="N19" i="7"/>
  <c r="AM22" i="7"/>
  <c r="AN22" i="7" s="1"/>
  <c r="N23" i="7"/>
  <c r="AC23" i="7"/>
  <c r="AD23" i="7" s="1"/>
  <c r="S17" i="7"/>
  <c r="AC17" i="7"/>
  <c r="AD17" i="7" s="1"/>
  <c r="S18" i="7"/>
  <c r="AC18" i="7"/>
  <c r="AD18" i="7" s="1"/>
  <c r="AC22" i="7"/>
  <c r="AD22" i="7" s="1"/>
  <c r="S23" i="7"/>
  <c r="T23" i="7" s="1"/>
  <c r="AM23" i="7"/>
  <c r="AN23" i="7" s="1"/>
  <c r="N22" i="7"/>
  <c r="AR22" i="7"/>
  <c r="AS22" i="7" s="1"/>
  <c r="N17" i="7"/>
  <c r="X17" i="7"/>
  <c r="AM17" i="7"/>
  <c r="AN17" i="7" s="1"/>
  <c r="N18" i="7"/>
  <c r="X18" i="7"/>
  <c r="S22" i="7"/>
  <c r="X23" i="7"/>
  <c r="Y23" i="7" s="1"/>
  <c r="C21" i="9"/>
  <c r="D11" i="9"/>
  <c r="D12" i="9"/>
  <c r="D13" i="9"/>
  <c r="D14" i="9"/>
  <c r="D15" i="9"/>
  <c r="D16" i="9"/>
  <c r="D10" i="9"/>
  <c r="D18" i="9"/>
  <c r="E17" i="9"/>
  <c r="E11" i="9"/>
  <c r="E12" i="9"/>
  <c r="E13" i="9"/>
  <c r="E14" i="9"/>
  <c r="E15" i="9"/>
  <c r="E16" i="9"/>
  <c r="E10" i="9"/>
  <c r="C17" i="9"/>
  <c r="A9" i="9"/>
  <c r="C10" i="9"/>
  <c r="C11" i="9"/>
  <c r="C12" i="9"/>
  <c r="C13" i="9"/>
  <c r="C14" i="9"/>
  <c r="C15" i="9"/>
  <c r="C16" i="9"/>
  <c r="C9" i="9"/>
  <c r="AU2" i="18"/>
  <c r="AZ2" i="15"/>
  <c r="A10" i="9"/>
  <c r="A11" i="9"/>
  <c r="AU22" i="18" l="1"/>
  <c r="AU18" i="18"/>
  <c r="AU21" i="18"/>
  <c r="T24" i="17"/>
  <c r="AU24" i="17" s="1"/>
  <c r="AU21" i="17"/>
  <c r="AI25" i="17"/>
  <c r="Y23" i="17"/>
  <c r="AU23" i="17" s="1"/>
  <c r="T24" i="7"/>
  <c r="AU24" i="7" s="1"/>
  <c r="AH19" i="7"/>
  <c r="AI19" i="7" s="1"/>
  <c r="AI25" i="7" s="1"/>
  <c r="AC19" i="7"/>
  <c r="AD19" i="7" s="1"/>
  <c r="AD25" i="7" s="1"/>
  <c r="AM19" i="7"/>
  <c r="AN19" i="7" s="1"/>
  <c r="AN25" i="7" s="1"/>
  <c r="X19" i="7"/>
  <c r="Y19" i="7" s="1"/>
  <c r="Y25" i="7" s="1"/>
  <c r="S19" i="7"/>
  <c r="AR19" i="7"/>
  <c r="AS19" i="7" s="1"/>
  <c r="AS25" i="7" s="1"/>
  <c r="AU22" i="7"/>
  <c r="AU18" i="7"/>
  <c r="AZ22" i="15"/>
  <c r="AN25" i="15"/>
  <c r="AS25" i="15"/>
  <c r="AZ21" i="15"/>
  <c r="AX25" i="15"/>
  <c r="Y25" i="15"/>
  <c r="AZ23" i="15"/>
  <c r="AZ24" i="15"/>
  <c r="AZ17" i="15"/>
  <c r="AZ20" i="15"/>
  <c r="AZ19" i="15"/>
  <c r="AD25" i="15"/>
  <c r="AZ18" i="15"/>
  <c r="AI25" i="15"/>
  <c r="AU20" i="18"/>
  <c r="AN25" i="18"/>
  <c r="AU23" i="18"/>
  <c r="T25" i="18"/>
  <c r="Y25" i="18"/>
  <c r="AU19" i="18"/>
  <c r="AU17" i="18"/>
  <c r="AD25" i="18"/>
  <c r="AS25" i="18"/>
  <c r="AU24" i="18"/>
  <c r="AI25" i="18"/>
  <c r="AU22" i="17"/>
  <c r="AU17" i="17"/>
  <c r="AU20" i="17"/>
  <c r="AU19" i="17"/>
  <c r="AS25" i="17"/>
  <c r="AN25" i="17"/>
  <c r="AU18" i="17"/>
  <c r="AD25" i="17"/>
  <c r="AU17" i="7"/>
  <c r="AU20" i="7"/>
  <c r="AU21" i="7"/>
  <c r="AU23" i="7"/>
  <c r="T25" i="17" l="1"/>
  <c r="Y25" i="17"/>
  <c r="T25" i="7"/>
  <c r="AV26" i="7" s="1"/>
  <c r="AU19" i="7"/>
  <c r="AV25" i="7" s="1"/>
  <c r="AZ26" i="15"/>
  <c r="AZ25" i="15"/>
  <c r="AU26" i="18"/>
  <c r="AU25" i="18"/>
  <c r="AU25" i="17"/>
  <c r="J12" i="18"/>
  <c r="F11" i="18"/>
  <c r="D11" i="18"/>
  <c r="H11" i="18" s="1"/>
  <c r="F10" i="18"/>
  <c r="D10" i="18"/>
  <c r="H10" i="18" s="1"/>
  <c r="F9" i="18"/>
  <c r="D9" i="18"/>
  <c r="H9" i="18" s="1"/>
  <c r="F8" i="18"/>
  <c r="D8" i="18"/>
  <c r="H8" i="18" s="1"/>
  <c r="F7" i="18"/>
  <c r="D7" i="18"/>
  <c r="H7" i="18" s="1"/>
  <c r="F6" i="18"/>
  <c r="D6" i="18"/>
  <c r="H6" i="18" s="1"/>
  <c r="F5" i="18"/>
  <c r="D5" i="18"/>
  <c r="H5" i="18" s="1"/>
  <c r="F4" i="18"/>
  <c r="D4" i="18"/>
  <c r="H4" i="18" s="1"/>
  <c r="AH6" i="17" l="1"/>
  <c r="AI6" i="17" s="1"/>
  <c r="AU26" i="17"/>
  <c r="AV26" i="17" s="1"/>
  <c r="BA26" i="15"/>
  <c r="AV26" i="18"/>
  <c r="AW26" i="7"/>
  <c r="AR7" i="18"/>
  <c r="AS7" i="18" s="1"/>
  <c r="AH11" i="18"/>
  <c r="AI11" i="18" s="1"/>
  <c r="AR9" i="18"/>
  <c r="AS9" i="18" s="1"/>
  <c r="AC5" i="18"/>
  <c r="AD5" i="18" s="1"/>
  <c r="AR8" i="18"/>
  <c r="AS8" i="18" s="1"/>
  <c r="AR5" i="18"/>
  <c r="AS5" i="18" s="1"/>
  <c r="AR6" i="18"/>
  <c r="AS6" i="18" s="1"/>
  <c r="AC10" i="18"/>
  <c r="AD10" i="18" s="1"/>
  <c r="I11" i="18"/>
  <c r="I5" i="18"/>
  <c r="AM11" i="18"/>
  <c r="AN11" i="18" s="1"/>
  <c r="AC6" i="17"/>
  <c r="AD6" i="17" s="1"/>
  <c r="AC4" i="18"/>
  <c r="AD4" i="18" s="1"/>
  <c r="S4" i="18"/>
  <c r="I4" i="18"/>
  <c r="AH4" i="18"/>
  <c r="AI4" i="18" s="1"/>
  <c r="AR4" i="18"/>
  <c r="AS4" i="18" s="1"/>
  <c r="AM4" i="18"/>
  <c r="AN4" i="18" s="1"/>
  <c r="X4" i="18"/>
  <c r="N4" i="18"/>
  <c r="AM6" i="18"/>
  <c r="AN6" i="18" s="1"/>
  <c r="AH5" i="18"/>
  <c r="AI5" i="18" s="1"/>
  <c r="I6" i="18"/>
  <c r="S6" i="18"/>
  <c r="AH6" i="18"/>
  <c r="AI6" i="18" s="1"/>
  <c r="I7" i="18"/>
  <c r="S7" i="18"/>
  <c r="AH7" i="18"/>
  <c r="AI7" i="18" s="1"/>
  <c r="I8" i="18"/>
  <c r="S8" i="18"/>
  <c r="AH8" i="18"/>
  <c r="AI8" i="18" s="1"/>
  <c r="I9" i="18"/>
  <c r="S9" i="18"/>
  <c r="AH9" i="18"/>
  <c r="AI9" i="18" s="1"/>
  <c r="I10" i="18"/>
  <c r="S10" i="18"/>
  <c r="T10" i="18" s="1"/>
  <c r="AM10" i="18"/>
  <c r="AN10" i="18" s="1"/>
  <c r="X11" i="18"/>
  <c r="Y11" i="18" s="1"/>
  <c r="AR11" i="18"/>
  <c r="AS11" i="18" s="1"/>
  <c r="N5" i="18"/>
  <c r="AM8" i="18"/>
  <c r="AN8" i="18" s="1"/>
  <c r="AM9" i="18"/>
  <c r="AN9" i="18" s="1"/>
  <c r="AR10" i="18"/>
  <c r="AS10" i="18" s="1"/>
  <c r="N11" i="18"/>
  <c r="AC11" i="18"/>
  <c r="AD11" i="18" s="1"/>
  <c r="S5" i="18"/>
  <c r="AC9" i="18"/>
  <c r="AD9" i="18" s="1"/>
  <c r="AH10" i="18"/>
  <c r="AI10" i="18" s="1"/>
  <c r="S11" i="18"/>
  <c r="T11" i="18" s="1"/>
  <c r="X5" i="18"/>
  <c r="AM5" i="18"/>
  <c r="AN5" i="18" s="1"/>
  <c r="AM7" i="18"/>
  <c r="AN7" i="18" s="1"/>
  <c r="X10" i="18"/>
  <c r="Y10" i="18" s="1"/>
  <c r="AC6" i="18"/>
  <c r="AD6" i="18" s="1"/>
  <c r="AC7" i="18"/>
  <c r="AD7" i="18" s="1"/>
  <c r="AC8" i="18"/>
  <c r="AD8" i="18" s="1"/>
  <c r="N6" i="18"/>
  <c r="X6" i="18"/>
  <c r="Y6" i="18" s="1"/>
  <c r="N7" i="18"/>
  <c r="X7" i="18"/>
  <c r="Y7" i="18" s="1"/>
  <c r="N8" i="18"/>
  <c r="X8" i="18"/>
  <c r="Y8" i="18" s="1"/>
  <c r="N9" i="18"/>
  <c r="X9" i="18"/>
  <c r="Y9" i="18" s="1"/>
  <c r="N10" i="18"/>
  <c r="AH4" i="17"/>
  <c r="AI4" i="17" s="1"/>
  <c r="AM4" i="17"/>
  <c r="AN4" i="17" s="1"/>
  <c r="X4" i="17"/>
  <c r="N4" i="17"/>
  <c r="AC4" i="17"/>
  <c r="AD4" i="17" s="1"/>
  <c r="S4" i="17"/>
  <c r="AR4" i="17"/>
  <c r="AS4" i="17" s="1"/>
  <c r="AH10" i="17"/>
  <c r="AI10" i="17" s="1"/>
  <c r="AM10" i="17"/>
  <c r="AN10" i="17" s="1"/>
  <c r="S10" i="17"/>
  <c r="T10" i="17" s="1"/>
  <c r="AR10" i="17"/>
  <c r="AS10" i="17" s="1"/>
  <c r="X10" i="17"/>
  <c r="Y10" i="17" s="1"/>
  <c r="AC10" i="17"/>
  <c r="AD10" i="17" s="1"/>
  <c r="N10" i="17"/>
  <c r="AC9" i="17"/>
  <c r="AD9" i="17" s="1"/>
  <c r="AH9" i="17"/>
  <c r="AI9" i="17" s="1"/>
  <c r="S9" i="17"/>
  <c r="AM9" i="17"/>
  <c r="AN9" i="17" s="1"/>
  <c r="AR9" i="17"/>
  <c r="AS9" i="17" s="1"/>
  <c r="X9" i="17"/>
  <c r="Y9" i="17" s="1"/>
  <c r="N9" i="17"/>
  <c r="AC8" i="17"/>
  <c r="AD8" i="17" s="1"/>
  <c r="AH8" i="17"/>
  <c r="AI8" i="17" s="1"/>
  <c r="S8" i="17"/>
  <c r="AM8" i="17"/>
  <c r="AN8" i="17" s="1"/>
  <c r="AR8" i="17"/>
  <c r="AS8" i="17" s="1"/>
  <c r="X8" i="17"/>
  <c r="Y8" i="17" s="1"/>
  <c r="N8" i="17"/>
  <c r="AC5" i="17"/>
  <c r="AD5" i="17" s="1"/>
  <c r="S5" i="17"/>
  <c r="AH5" i="17"/>
  <c r="AI5" i="17" s="1"/>
  <c r="AM5" i="17"/>
  <c r="AN5" i="17" s="1"/>
  <c r="X5" i="17"/>
  <c r="N5" i="17"/>
  <c r="AR5" i="17"/>
  <c r="AS5" i="17" s="1"/>
  <c r="AC7" i="17"/>
  <c r="AD7" i="17" s="1"/>
  <c r="AH7" i="17"/>
  <c r="AI7" i="17" s="1"/>
  <c r="S7" i="17"/>
  <c r="AM7" i="17"/>
  <c r="AN7" i="17" s="1"/>
  <c r="AR7" i="17"/>
  <c r="AS7" i="17" s="1"/>
  <c r="X7" i="17"/>
  <c r="Y7" i="17" s="1"/>
  <c r="N7" i="17"/>
  <c r="AM11" i="17"/>
  <c r="AN11" i="17" s="1"/>
  <c r="S11" i="17"/>
  <c r="T11" i="17" s="1"/>
  <c r="AR11" i="17"/>
  <c r="AS11" i="17" s="1"/>
  <c r="X11" i="17"/>
  <c r="Y11" i="17" s="1"/>
  <c r="AC11" i="17"/>
  <c r="AD11" i="17" s="1"/>
  <c r="N11" i="17"/>
  <c r="AH11" i="17"/>
  <c r="AI11" i="17" s="1"/>
  <c r="N6" i="17"/>
  <c r="X6" i="17"/>
  <c r="Y6" i="17" s="1"/>
  <c r="AR6" i="17"/>
  <c r="AS6" i="17" s="1"/>
  <c r="AM6" i="17"/>
  <c r="AN6" i="17" s="1"/>
  <c r="S6" i="17"/>
  <c r="AU7" i="18" l="1"/>
  <c r="AU9" i="18"/>
  <c r="AU5" i="18"/>
  <c r="Y12" i="17"/>
  <c r="AU6" i="17"/>
  <c r="AU11" i="17"/>
  <c r="AU5" i="17"/>
  <c r="AU4" i="17"/>
  <c r="AU7" i="17"/>
  <c r="AU8" i="17"/>
  <c r="AU9" i="17"/>
  <c r="AU10" i="17"/>
  <c r="AU10" i="18"/>
  <c r="AU8" i="18"/>
  <c r="AU6" i="18"/>
  <c r="AU11" i="18"/>
  <c r="AU4" i="18"/>
  <c r="AS12" i="18"/>
  <c r="AN12" i="17"/>
  <c r="AD12" i="17"/>
  <c r="AI12" i="17"/>
  <c r="T12" i="17"/>
  <c r="AS12" i="17"/>
  <c r="AD12" i="18"/>
  <c r="T12" i="18"/>
  <c r="AI12" i="18"/>
  <c r="Y12" i="18"/>
  <c r="AN12" i="18"/>
  <c r="AU13" i="18" l="1"/>
  <c r="AS13" i="18" s="1"/>
  <c r="AU12" i="18"/>
  <c r="AU13" i="17"/>
  <c r="AD13" i="17" s="1"/>
  <c r="AU12" i="17"/>
  <c r="V25" i="2"/>
  <c r="U25" i="2"/>
  <c r="D24" i="2"/>
  <c r="D23" i="2"/>
  <c r="D22" i="2"/>
  <c r="D21" i="2"/>
  <c r="D20" i="2"/>
  <c r="D19" i="2"/>
  <c r="D18" i="2"/>
  <c r="D17" i="2"/>
  <c r="G17" i="2" s="1"/>
  <c r="AD26" i="18" l="1"/>
  <c r="Y26" i="18"/>
  <c r="AI26" i="18"/>
  <c r="AN26" i="18"/>
  <c r="T26" i="18"/>
  <c r="AS26" i="18"/>
  <c r="T13" i="17"/>
  <c r="Y13" i="17"/>
  <c r="AI26" i="17"/>
  <c r="AD26" i="17"/>
  <c r="T26" i="17"/>
  <c r="AN26" i="17"/>
  <c r="AS26" i="17"/>
  <c r="Y26" i="17"/>
  <c r="F20" i="2"/>
  <c r="F24" i="2"/>
  <c r="F21" i="2"/>
  <c r="F18" i="2"/>
  <c r="F22" i="2"/>
  <c r="F19" i="2"/>
  <c r="F23" i="2"/>
  <c r="AN13" i="17"/>
  <c r="AV13" i="17"/>
  <c r="AS13" i="17"/>
  <c r="AI13" i="17"/>
  <c r="AD13" i="18"/>
  <c r="AV13" i="18"/>
  <c r="AN13" i="18"/>
  <c r="T13" i="18"/>
  <c r="AI13" i="18"/>
  <c r="Y13" i="18"/>
  <c r="BD2" i="1"/>
  <c r="F25" i="2" l="1"/>
  <c r="BB6" i="16"/>
  <c r="AR6" i="16"/>
  <c r="AM6" i="16"/>
  <c r="AH6" i="16"/>
  <c r="X6" i="16"/>
  <c r="S6" i="16"/>
  <c r="AB18" i="16"/>
  <c r="W18" i="16"/>
  <c r="R18" i="16"/>
  <c r="M18" i="16"/>
  <c r="J12" i="16"/>
  <c r="BA11" i="16"/>
  <c r="AV11" i="16"/>
  <c r="AQ11" i="16"/>
  <c r="AL11" i="16"/>
  <c r="AG11" i="16"/>
  <c r="AB11" i="16"/>
  <c r="W11" i="16"/>
  <c r="R11" i="16"/>
  <c r="M11" i="16"/>
  <c r="F11" i="16"/>
  <c r="D11" i="16"/>
  <c r="H11" i="16" s="1"/>
  <c r="BA10" i="16"/>
  <c r="AV10" i="16"/>
  <c r="AQ10" i="16"/>
  <c r="AL10" i="16"/>
  <c r="AG10" i="16"/>
  <c r="AB10" i="16"/>
  <c r="W10" i="16"/>
  <c r="R10" i="16"/>
  <c r="M10" i="16"/>
  <c r="F10" i="16"/>
  <c r="D10" i="16"/>
  <c r="H10" i="16" s="1"/>
  <c r="BA9" i="16"/>
  <c r="AV9" i="16"/>
  <c r="AQ9" i="16"/>
  <c r="AL9" i="16"/>
  <c r="AG9" i="16"/>
  <c r="AB9" i="16"/>
  <c r="W9" i="16"/>
  <c r="R9" i="16"/>
  <c r="M9" i="16"/>
  <c r="F9" i="16"/>
  <c r="D9" i="16"/>
  <c r="H9" i="16" s="1"/>
  <c r="BB9" i="16" s="1"/>
  <c r="BC9" i="16" s="1"/>
  <c r="BA8" i="16"/>
  <c r="AV8" i="16"/>
  <c r="AQ8" i="16"/>
  <c r="AL8" i="16"/>
  <c r="AG8" i="16"/>
  <c r="AB8" i="16"/>
  <c r="W8" i="16"/>
  <c r="R8" i="16"/>
  <c r="M8" i="16"/>
  <c r="F8" i="16"/>
  <c r="D8" i="16"/>
  <c r="H8" i="16" s="1"/>
  <c r="BB8" i="16" s="1"/>
  <c r="BA7" i="16"/>
  <c r="AV7" i="16"/>
  <c r="AQ7" i="16"/>
  <c r="AL7" i="16"/>
  <c r="AG7" i="16"/>
  <c r="AB7" i="16"/>
  <c r="W7" i="16"/>
  <c r="R7" i="16"/>
  <c r="M7" i="16"/>
  <c r="H7" i="16"/>
  <c r="BB7" i="16" s="1"/>
  <c r="F7" i="16"/>
  <c r="D7" i="16"/>
  <c r="BA6" i="16"/>
  <c r="AV6" i="16"/>
  <c r="AW6" i="16" s="1"/>
  <c r="AQ6" i="16"/>
  <c r="AL6" i="16"/>
  <c r="AG6" i="16"/>
  <c r="AB6" i="16"/>
  <c r="AC6" i="16" s="1"/>
  <c r="W6" i="16"/>
  <c r="R6" i="16"/>
  <c r="M6" i="16"/>
  <c r="N6" i="16" s="1"/>
  <c r="O6" i="16" s="1"/>
  <c r="F6" i="16"/>
  <c r="D6" i="16"/>
  <c r="H6" i="16" s="1"/>
  <c r="BA5" i="16"/>
  <c r="AV5" i="16"/>
  <c r="AQ5" i="16"/>
  <c r="AL5" i="16"/>
  <c r="AG5" i="16"/>
  <c r="AB5" i="16"/>
  <c r="W5" i="16"/>
  <c r="R5" i="16"/>
  <c r="M5" i="16"/>
  <c r="H5" i="16"/>
  <c r="I5" i="16" s="1"/>
  <c r="F5" i="16"/>
  <c r="D5" i="16"/>
  <c r="BA4" i="16"/>
  <c r="AV4" i="16"/>
  <c r="AQ4" i="16"/>
  <c r="AL4" i="16"/>
  <c r="AG4" i="16"/>
  <c r="AB4" i="16"/>
  <c r="W4" i="16"/>
  <c r="R4" i="16"/>
  <c r="M4" i="16"/>
  <c r="F4" i="16"/>
  <c r="D4" i="16"/>
  <c r="H4" i="16" s="1"/>
  <c r="BB4" i="16" s="1"/>
  <c r="J12" i="15"/>
  <c r="M11" i="15"/>
  <c r="F11" i="15"/>
  <c r="D11" i="15"/>
  <c r="H11" i="15" s="1"/>
  <c r="M10" i="15"/>
  <c r="F10" i="15"/>
  <c r="D10" i="15"/>
  <c r="H10" i="15" s="1"/>
  <c r="M9" i="15"/>
  <c r="F9" i="15"/>
  <c r="D9" i="15"/>
  <c r="H9" i="15" s="1"/>
  <c r="M8" i="15"/>
  <c r="F8" i="15"/>
  <c r="D8" i="15"/>
  <c r="H8" i="15" s="1"/>
  <c r="M7" i="15"/>
  <c r="F7" i="15"/>
  <c r="D7" i="15"/>
  <c r="H7" i="15" s="1"/>
  <c r="M6" i="15"/>
  <c r="F6" i="15"/>
  <c r="D6" i="15"/>
  <c r="H6" i="15" s="1"/>
  <c r="M5" i="15"/>
  <c r="F5" i="15"/>
  <c r="D5" i="15"/>
  <c r="H5" i="15" s="1"/>
  <c r="M4" i="15"/>
  <c r="F4" i="15"/>
  <c r="D4" i="15"/>
  <c r="H4" i="15" s="1"/>
  <c r="AW4" i="15" l="1"/>
  <c r="AX4" i="15" s="1"/>
  <c r="AW6" i="15"/>
  <c r="AX6" i="15" s="1"/>
  <c r="AW10" i="15"/>
  <c r="AX10" i="15" s="1"/>
  <c r="X4" i="15"/>
  <c r="AR4" i="15"/>
  <c r="AS4" i="15" s="1"/>
  <c r="N4" i="15"/>
  <c r="AH4" i="15"/>
  <c r="AI4" i="15" s="1"/>
  <c r="AW5" i="15"/>
  <c r="AX5" i="15" s="1"/>
  <c r="AW9" i="15"/>
  <c r="AX9" i="15" s="1"/>
  <c r="AW8" i="15"/>
  <c r="AX8" i="15" s="1"/>
  <c r="AR8" i="15"/>
  <c r="AS8" i="15" s="1"/>
  <c r="AM8" i="15"/>
  <c r="AN8" i="15" s="1"/>
  <c r="AH8" i="15"/>
  <c r="AI8" i="15" s="1"/>
  <c r="AC8" i="15"/>
  <c r="AD8" i="15" s="1"/>
  <c r="X8" i="15"/>
  <c r="S8" i="15"/>
  <c r="N8" i="15"/>
  <c r="AW7" i="15"/>
  <c r="AX7" i="15" s="1"/>
  <c r="AR7" i="15"/>
  <c r="AS7" i="15" s="1"/>
  <c r="AM7" i="15"/>
  <c r="AN7" i="15" s="1"/>
  <c r="AH7" i="15"/>
  <c r="AI7" i="15" s="1"/>
  <c r="AC7" i="15"/>
  <c r="AD7" i="15" s="1"/>
  <c r="X7" i="15"/>
  <c r="S7" i="15"/>
  <c r="N7" i="15"/>
  <c r="I7" i="15"/>
  <c r="AW11" i="15"/>
  <c r="AX11" i="15" s="1"/>
  <c r="AR11" i="15"/>
  <c r="AS11" i="15" s="1"/>
  <c r="AM11" i="15"/>
  <c r="AN11" i="15" s="1"/>
  <c r="AH11" i="15"/>
  <c r="AI11" i="15" s="1"/>
  <c r="AC11" i="15"/>
  <c r="AD11" i="15" s="1"/>
  <c r="X11" i="15"/>
  <c r="Y11" i="15" s="1"/>
  <c r="S11" i="15"/>
  <c r="N11" i="15"/>
  <c r="N10" i="15"/>
  <c r="N6" i="15"/>
  <c r="S10" i="15"/>
  <c r="S6" i="15"/>
  <c r="X10" i="15"/>
  <c r="Y10" i="15" s="1"/>
  <c r="X6" i="15"/>
  <c r="AC10" i="15"/>
  <c r="AD10" i="15" s="1"/>
  <c r="AC6" i="15"/>
  <c r="AD6" i="15" s="1"/>
  <c r="AH10" i="15"/>
  <c r="AI10" i="15" s="1"/>
  <c r="AH6" i="15"/>
  <c r="AI6" i="15" s="1"/>
  <c r="AM10" i="15"/>
  <c r="AN10" i="15" s="1"/>
  <c r="AM6" i="15"/>
  <c r="AN6" i="15" s="1"/>
  <c r="AR10" i="15"/>
  <c r="AS10" i="15" s="1"/>
  <c r="AR6" i="15"/>
  <c r="AS6" i="15" s="1"/>
  <c r="N9" i="15"/>
  <c r="N5" i="15"/>
  <c r="S9" i="15"/>
  <c r="S5" i="15"/>
  <c r="X9" i="15"/>
  <c r="X5" i="15"/>
  <c r="AC9" i="15"/>
  <c r="AD9" i="15" s="1"/>
  <c r="AC5" i="15"/>
  <c r="AH9" i="15"/>
  <c r="AI9" i="15" s="1"/>
  <c r="AH5" i="15"/>
  <c r="AI5" i="15" s="1"/>
  <c r="AM9" i="15"/>
  <c r="AN9" i="15" s="1"/>
  <c r="AM5" i="15"/>
  <c r="AN5" i="15" s="1"/>
  <c r="AR9" i="15"/>
  <c r="AS9" i="15" s="1"/>
  <c r="AR5" i="15"/>
  <c r="AS5" i="15" s="1"/>
  <c r="S4" i="15"/>
  <c r="AC4" i="15"/>
  <c r="AM4" i="15"/>
  <c r="AN4" i="15" s="1"/>
  <c r="BB11" i="16"/>
  <c r="AW11" i="16"/>
  <c r="AX11" i="16" s="1"/>
  <c r="AR11" i="16"/>
  <c r="AM11" i="16"/>
  <c r="AH11" i="16"/>
  <c r="AC11" i="16"/>
  <c r="X11" i="16"/>
  <c r="S11" i="16"/>
  <c r="N11" i="16"/>
  <c r="O11" i="16" s="1"/>
  <c r="BB10" i="16"/>
  <c r="BC10" i="16" s="1"/>
  <c r="AW10" i="16"/>
  <c r="AR10" i="16"/>
  <c r="AS10" i="16" s="1"/>
  <c r="AM10" i="16"/>
  <c r="AH10" i="16"/>
  <c r="AI10" i="16" s="1"/>
  <c r="AC10" i="16"/>
  <c r="X10" i="16"/>
  <c r="S10" i="16"/>
  <c r="N10" i="16"/>
  <c r="O10" i="16" s="1"/>
  <c r="N9" i="16"/>
  <c r="N5" i="16"/>
  <c r="O5" i="16" s="1"/>
  <c r="S9" i="16"/>
  <c r="S5" i="16"/>
  <c r="X9" i="16"/>
  <c r="X5" i="16"/>
  <c r="AC9" i="16"/>
  <c r="AD9" i="16" s="1"/>
  <c r="AC5" i="16"/>
  <c r="AD5" i="16" s="1"/>
  <c r="AH9" i="16"/>
  <c r="AI9" i="16" s="1"/>
  <c r="AH5" i="16"/>
  <c r="AI5" i="16" s="1"/>
  <c r="AM9" i="16"/>
  <c r="AN9" i="16" s="1"/>
  <c r="AM5" i="16"/>
  <c r="AN5" i="16" s="1"/>
  <c r="AR9" i="16"/>
  <c r="AR5" i="16"/>
  <c r="AW9" i="16"/>
  <c r="AX9" i="16" s="1"/>
  <c r="AW5" i="16"/>
  <c r="AX5" i="16" s="1"/>
  <c r="BB5" i="16"/>
  <c r="BC5" i="16" s="1"/>
  <c r="N4" i="16"/>
  <c r="N8" i="16"/>
  <c r="O8" i="16" s="1"/>
  <c r="S4" i="16"/>
  <c r="S8" i="16"/>
  <c r="X4" i="16"/>
  <c r="X8" i="16"/>
  <c r="Y8" i="16" s="1"/>
  <c r="AC4" i="16"/>
  <c r="AD4" i="16" s="1"/>
  <c r="AC8" i="16"/>
  <c r="AH4" i="16"/>
  <c r="AH8" i="16"/>
  <c r="AM4" i="16"/>
  <c r="AN4" i="16" s="1"/>
  <c r="AM8" i="16"/>
  <c r="AR4" i="16"/>
  <c r="AR8" i="16"/>
  <c r="AS8" i="16" s="1"/>
  <c r="AW4" i="16"/>
  <c r="AX4" i="16" s="1"/>
  <c r="AW8" i="16"/>
  <c r="O9" i="16"/>
  <c r="N7" i="16"/>
  <c r="O7" i="16" s="1"/>
  <c r="S7" i="16"/>
  <c r="X7" i="16"/>
  <c r="AC7" i="16"/>
  <c r="AH7" i="16"/>
  <c r="AM7" i="16"/>
  <c r="AR7" i="16"/>
  <c r="AW7" i="16"/>
  <c r="BC4" i="16"/>
  <c r="AI4" i="16"/>
  <c r="I4" i="16"/>
  <c r="AS4" i="16"/>
  <c r="O4" i="16"/>
  <c r="AX7" i="16"/>
  <c r="AD7" i="16"/>
  <c r="BC7" i="16"/>
  <c r="AI7" i="16"/>
  <c r="AN7" i="16"/>
  <c r="AX8" i="16"/>
  <c r="AD8" i="16"/>
  <c r="AN8" i="16"/>
  <c r="BC11" i="16"/>
  <c r="AI11" i="16"/>
  <c r="AN11" i="16"/>
  <c r="T11" i="16"/>
  <c r="AD11" i="16"/>
  <c r="BC6" i="16"/>
  <c r="AI6" i="16"/>
  <c r="I6" i="16"/>
  <c r="AN6" i="16"/>
  <c r="AD6" i="16"/>
  <c r="AX6" i="16"/>
  <c r="I7" i="16"/>
  <c r="AN10" i="16"/>
  <c r="I10" i="16"/>
  <c r="AD10" i="16"/>
  <c r="AX10" i="16"/>
  <c r="I11" i="16"/>
  <c r="Y7" i="16"/>
  <c r="AS7" i="16"/>
  <c r="I8" i="16"/>
  <c r="AI8" i="16"/>
  <c r="BC8" i="16"/>
  <c r="Y11" i="16"/>
  <c r="AS11" i="16"/>
  <c r="D13" i="16"/>
  <c r="AS5" i="16"/>
  <c r="AS6" i="16"/>
  <c r="I9" i="16"/>
  <c r="AS9" i="16"/>
  <c r="Y9" i="16"/>
  <c r="Y10" i="16"/>
  <c r="I9" i="15"/>
  <c r="I6" i="15"/>
  <c r="I5" i="15"/>
  <c r="I10" i="15"/>
  <c r="I4" i="15"/>
  <c r="I8" i="15"/>
  <c r="I11" i="15"/>
  <c r="J13" i="3"/>
  <c r="K13" i="3" s="1"/>
  <c r="L13" i="3" s="1"/>
  <c r="J15" i="3"/>
  <c r="K15" i="3" s="1"/>
  <c r="L15" i="3" s="1"/>
  <c r="J8" i="3"/>
  <c r="K8" i="3" s="1"/>
  <c r="L8" i="3" s="1"/>
  <c r="J9" i="3"/>
  <c r="K9" i="3" s="1"/>
  <c r="L9" i="3" s="1"/>
  <c r="J10" i="3"/>
  <c r="K10" i="3" s="1"/>
  <c r="L10" i="3" s="1"/>
  <c r="J11" i="3"/>
  <c r="K11" i="3" s="1"/>
  <c r="L11" i="3" s="1"/>
  <c r="J12" i="3"/>
  <c r="K12" i="3" s="1"/>
  <c r="L12" i="3" s="1"/>
  <c r="J14" i="3"/>
  <c r="K14" i="3" s="1"/>
  <c r="L14" i="3" s="1"/>
  <c r="J7" i="3"/>
  <c r="K7" i="3" s="1"/>
  <c r="L7" i="3" s="1"/>
  <c r="BB5" i="8"/>
  <c r="BB6" i="8"/>
  <c r="BB7" i="8"/>
  <c r="BB8" i="8"/>
  <c r="BB9" i="8"/>
  <c r="BB10" i="8"/>
  <c r="BB11" i="8"/>
  <c r="BB4" i="8"/>
  <c r="AW5" i="8"/>
  <c r="AW6" i="8"/>
  <c r="AW7" i="8"/>
  <c r="AW8" i="8"/>
  <c r="AW9" i="8"/>
  <c r="AW10" i="8"/>
  <c r="AW11" i="8"/>
  <c r="AW4" i="8"/>
  <c r="AR5" i="8"/>
  <c r="AR6" i="8"/>
  <c r="AR7" i="8"/>
  <c r="AR8" i="8"/>
  <c r="AR9" i="8"/>
  <c r="AR10" i="8"/>
  <c r="AR11" i="8"/>
  <c r="AR4" i="8"/>
  <c r="AM5" i="8"/>
  <c r="AM6" i="8"/>
  <c r="AM7" i="8"/>
  <c r="AM8" i="8"/>
  <c r="AM9" i="8"/>
  <c r="AM10" i="8"/>
  <c r="AM11" i="8"/>
  <c r="AM4" i="8"/>
  <c r="AH5" i="8"/>
  <c r="AH6" i="8"/>
  <c r="AH7" i="8"/>
  <c r="AH8" i="8"/>
  <c r="AH9" i="8"/>
  <c r="AH10" i="8"/>
  <c r="AH11" i="8"/>
  <c r="AH4" i="8"/>
  <c r="AC5" i="8"/>
  <c r="AC6" i="8"/>
  <c r="AC7" i="8"/>
  <c r="AC8" i="8"/>
  <c r="AD8" i="8" s="1"/>
  <c r="AC9" i="8"/>
  <c r="AC10" i="8"/>
  <c r="AC11" i="8"/>
  <c r="AC4" i="8"/>
  <c r="X5" i="8"/>
  <c r="X6" i="8"/>
  <c r="X7" i="8"/>
  <c r="X8" i="8"/>
  <c r="X9" i="8"/>
  <c r="X10" i="8"/>
  <c r="X11" i="8"/>
  <c r="X4" i="8"/>
  <c r="S5" i="8"/>
  <c r="S6" i="8"/>
  <c r="S7" i="8"/>
  <c r="S8" i="8"/>
  <c r="S9" i="8"/>
  <c r="S10" i="8"/>
  <c r="S11" i="8"/>
  <c r="S4" i="8"/>
  <c r="N5" i="8"/>
  <c r="N6" i="8"/>
  <c r="N7" i="8"/>
  <c r="N8" i="8"/>
  <c r="N9" i="8"/>
  <c r="N10" i="8"/>
  <c r="N11" i="8"/>
  <c r="N4" i="8"/>
  <c r="AB18" i="8"/>
  <c r="W18" i="8"/>
  <c r="R18" i="8"/>
  <c r="M18" i="8"/>
  <c r="BC13" i="8"/>
  <c r="J12" i="8"/>
  <c r="BA11" i="8"/>
  <c r="AV11" i="8"/>
  <c r="AQ11" i="8"/>
  <c r="AL11" i="8"/>
  <c r="AG11" i="8"/>
  <c r="AB11" i="8"/>
  <c r="W11" i="8"/>
  <c r="R11" i="8"/>
  <c r="M11" i="8"/>
  <c r="H11" i="8"/>
  <c r="AS11" i="8" s="1"/>
  <c r="F11" i="8"/>
  <c r="D11" i="8"/>
  <c r="BA10" i="8"/>
  <c r="AV10" i="8"/>
  <c r="AQ10" i="8"/>
  <c r="AL10" i="8"/>
  <c r="AG10" i="8"/>
  <c r="AB10" i="8"/>
  <c r="W10" i="8"/>
  <c r="R10" i="8"/>
  <c r="M10" i="8"/>
  <c r="F10" i="8"/>
  <c r="D10" i="8"/>
  <c r="H10" i="8" s="1"/>
  <c r="BA9" i="8"/>
  <c r="AV9" i="8"/>
  <c r="AQ9" i="8"/>
  <c r="AL9" i="8"/>
  <c r="AG9" i="8"/>
  <c r="AB9" i="8"/>
  <c r="W9" i="8"/>
  <c r="R9" i="8"/>
  <c r="M9" i="8"/>
  <c r="H9" i="8"/>
  <c r="F9" i="8"/>
  <c r="D9" i="8"/>
  <c r="BA8" i="8"/>
  <c r="AV8" i="8"/>
  <c r="AQ8" i="8"/>
  <c r="AL8" i="8"/>
  <c r="AG8" i="8"/>
  <c r="AB8" i="8"/>
  <c r="W8" i="8"/>
  <c r="R8" i="8"/>
  <c r="M8" i="8"/>
  <c r="F8" i="8"/>
  <c r="D8" i="8"/>
  <c r="H8" i="8" s="1"/>
  <c r="BA7" i="8"/>
  <c r="AV7" i="8"/>
  <c r="AQ7" i="8"/>
  <c r="AL7" i="8"/>
  <c r="AG7" i="8"/>
  <c r="AB7" i="8"/>
  <c r="W7" i="8"/>
  <c r="R7" i="8"/>
  <c r="M7" i="8"/>
  <c r="H7" i="8"/>
  <c r="F7" i="8"/>
  <c r="D7" i="8"/>
  <c r="BA6" i="8"/>
  <c r="AX6" i="8"/>
  <c r="AV6" i="8"/>
  <c r="AQ6" i="8"/>
  <c r="AL6" i="8"/>
  <c r="AG6" i="8"/>
  <c r="AB6" i="8"/>
  <c r="W6" i="8"/>
  <c r="R6" i="8"/>
  <c r="M6" i="8"/>
  <c r="I6" i="8"/>
  <c r="F6" i="8"/>
  <c r="D6" i="8"/>
  <c r="H6" i="8" s="1"/>
  <c r="BA5" i="8"/>
  <c r="AV5" i="8"/>
  <c r="AQ5" i="8"/>
  <c r="AL5" i="8"/>
  <c r="AG5" i="8"/>
  <c r="AB5" i="8"/>
  <c r="W5" i="8"/>
  <c r="R5" i="8"/>
  <c r="M5" i="8"/>
  <c r="F5" i="8"/>
  <c r="D5" i="8"/>
  <c r="H5" i="8" s="1"/>
  <c r="BA4" i="8"/>
  <c r="AV4" i="8"/>
  <c r="AS4" i="8"/>
  <c r="AQ4" i="8"/>
  <c r="AN4" i="8"/>
  <c r="AL4" i="8"/>
  <c r="AG4" i="8"/>
  <c r="AB4" i="8"/>
  <c r="W4" i="8"/>
  <c r="R4" i="8"/>
  <c r="M4" i="8"/>
  <c r="H4" i="8"/>
  <c r="F4" i="8"/>
  <c r="D4" i="8"/>
  <c r="J12" i="7"/>
  <c r="F11" i="7"/>
  <c r="D11" i="7"/>
  <c r="H11" i="7" s="1"/>
  <c r="F10" i="7"/>
  <c r="D10" i="7"/>
  <c r="H10" i="7" s="1"/>
  <c r="F9" i="7"/>
  <c r="D9" i="7"/>
  <c r="H9" i="7" s="1"/>
  <c r="F8" i="7"/>
  <c r="D8" i="7"/>
  <c r="H8" i="7" s="1"/>
  <c r="F7" i="7"/>
  <c r="D7" i="7"/>
  <c r="H7" i="7" s="1"/>
  <c r="F6" i="7"/>
  <c r="D6" i="7"/>
  <c r="H6" i="7" s="1"/>
  <c r="F5" i="7"/>
  <c r="D5" i="7"/>
  <c r="H5" i="7" s="1"/>
  <c r="F4" i="7"/>
  <c r="D4" i="7"/>
  <c r="H4" i="7" s="1"/>
  <c r="F33" i="1"/>
  <c r="F32" i="1"/>
  <c r="F31" i="1"/>
  <c r="F30" i="1"/>
  <c r="F29" i="1"/>
  <c r="F28" i="1"/>
  <c r="F27" i="1"/>
  <c r="G26" i="1"/>
  <c r="D33" i="1"/>
  <c r="D32" i="1"/>
  <c r="D31" i="1"/>
  <c r="D30" i="1"/>
  <c r="D29" i="1"/>
  <c r="D28" i="1"/>
  <c r="D27" i="1"/>
  <c r="D26" i="1"/>
  <c r="N10" i="7" l="1"/>
  <c r="N5" i="7"/>
  <c r="S7" i="7"/>
  <c r="X6" i="7"/>
  <c r="Y6" i="7" s="1"/>
  <c r="N8" i="7"/>
  <c r="S11" i="7"/>
  <c r="T11" i="7" s="1"/>
  <c r="Y12" i="15"/>
  <c r="AN12" i="15"/>
  <c r="AD12" i="15"/>
  <c r="AI12" i="15"/>
  <c r="AX12" i="15"/>
  <c r="AZ5" i="15"/>
  <c r="AS12" i="15"/>
  <c r="AM8" i="7"/>
  <c r="AN8" i="7" s="1"/>
  <c r="AM5" i="7"/>
  <c r="AN5" i="7" s="1"/>
  <c r="N6" i="7"/>
  <c r="AH6" i="7"/>
  <c r="AI6" i="7" s="1"/>
  <c r="AM6" i="7"/>
  <c r="AN6" i="7" s="1"/>
  <c r="AM10" i="7"/>
  <c r="AN10" i="7" s="1"/>
  <c r="AM4" i="7"/>
  <c r="AN4" i="7" s="1"/>
  <c r="S6" i="7"/>
  <c r="X10" i="7"/>
  <c r="Y10" i="7" s="1"/>
  <c r="AC6" i="7"/>
  <c r="AD6" i="7" s="1"/>
  <c r="AR7" i="7"/>
  <c r="AS7" i="7" s="1"/>
  <c r="N9" i="7"/>
  <c r="S9" i="7"/>
  <c r="S5" i="7"/>
  <c r="X9" i="7"/>
  <c r="Y9" i="7" s="1"/>
  <c r="AC9" i="7"/>
  <c r="AD9" i="7" s="1"/>
  <c r="AC5" i="7"/>
  <c r="AD5" i="7" s="1"/>
  <c r="AH9" i="7"/>
  <c r="AI9" i="7" s="1"/>
  <c r="AM9" i="7"/>
  <c r="AN9" i="7" s="1"/>
  <c r="I7" i="7"/>
  <c r="N4" i="7"/>
  <c r="S4" i="7"/>
  <c r="S8" i="7"/>
  <c r="X4" i="7"/>
  <c r="AC4" i="7"/>
  <c r="AD4" i="7" s="1"/>
  <c r="AC8" i="7"/>
  <c r="AD8" i="7" s="1"/>
  <c r="AH4" i="7"/>
  <c r="AI4" i="7" s="1"/>
  <c r="N11" i="7"/>
  <c r="N7" i="7"/>
  <c r="X7" i="7"/>
  <c r="Y7" i="7" s="1"/>
  <c r="AC7" i="7"/>
  <c r="BE6" i="16"/>
  <c r="BE5" i="16"/>
  <c r="AN12" i="16"/>
  <c r="AN13" i="16" s="1"/>
  <c r="T12" i="16"/>
  <c r="BE11" i="16"/>
  <c r="AX12" i="16"/>
  <c r="AX13" i="16" s="1"/>
  <c r="BE8" i="16"/>
  <c r="BE10" i="16"/>
  <c r="BE9" i="16"/>
  <c r="AI12" i="16"/>
  <c r="AI13" i="16" s="1"/>
  <c r="BE7" i="16"/>
  <c r="Y12" i="16"/>
  <c r="Y13" i="16" s="1"/>
  <c r="AD12" i="16"/>
  <c r="AD13" i="16" s="1"/>
  <c r="BE4" i="16"/>
  <c r="AS12" i="16"/>
  <c r="AS13" i="16" s="1"/>
  <c r="BC12" i="16"/>
  <c r="BC13" i="16" s="1"/>
  <c r="AZ7" i="15"/>
  <c r="AZ8" i="15"/>
  <c r="AZ9" i="15"/>
  <c r="AZ6" i="15"/>
  <c r="AZ4" i="15"/>
  <c r="AZ11" i="15"/>
  <c r="AZ10" i="15"/>
  <c r="N10" i="3"/>
  <c r="M10" i="3"/>
  <c r="N14" i="3"/>
  <c r="M14" i="3"/>
  <c r="N7" i="3"/>
  <c r="M7" i="3"/>
  <c r="N11" i="3"/>
  <c r="M11" i="3"/>
  <c r="N15" i="3"/>
  <c r="M15" i="3"/>
  <c r="N8" i="3"/>
  <c r="M8" i="3"/>
  <c r="N12" i="3"/>
  <c r="M12" i="3"/>
  <c r="N9" i="3"/>
  <c r="M9" i="3"/>
  <c r="N13" i="3"/>
  <c r="M13" i="3"/>
  <c r="AX5" i="8"/>
  <c r="AD5" i="8"/>
  <c r="I5" i="8"/>
  <c r="BC5" i="8"/>
  <c r="AI5" i="8"/>
  <c r="AN5" i="8"/>
  <c r="AS9" i="8"/>
  <c r="Y9" i="8"/>
  <c r="AX9" i="8"/>
  <c r="AD9" i="8"/>
  <c r="BC9" i="8"/>
  <c r="AI9" i="8"/>
  <c r="I9" i="8"/>
  <c r="AN9" i="8"/>
  <c r="BC10" i="8"/>
  <c r="AI10" i="8"/>
  <c r="I10" i="8"/>
  <c r="AN10" i="8"/>
  <c r="AS10" i="8"/>
  <c r="Y10" i="8"/>
  <c r="AX10" i="8"/>
  <c r="AS5" i="8"/>
  <c r="AS7" i="8"/>
  <c r="Y7" i="8"/>
  <c r="AX7" i="8"/>
  <c r="AD7" i="8"/>
  <c r="BC7" i="8"/>
  <c r="AI7" i="8"/>
  <c r="I7" i="8"/>
  <c r="AN7" i="8"/>
  <c r="AX11" i="8"/>
  <c r="AD11" i="8"/>
  <c r="BC11" i="8"/>
  <c r="AI11" i="8"/>
  <c r="AN11" i="8"/>
  <c r="T11" i="8"/>
  <c r="I11" i="8"/>
  <c r="Y11" i="8"/>
  <c r="BC6" i="8"/>
  <c r="AI6" i="8"/>
  <c r="AN6" i="8"/>
  <c r="AS6" i="8"/>
  <c r="AD6" i="8"/>
  <c r="BC8" i="8"/>
  <c r="AI8" i="8"/>
  <c r="I8" i="8"/>
  <c r="AN8" i="8"/>
  <c r="AN12" i="8" s="1"/>
  <c r="AN13" i="8" s="1"/>
  <c r="AS8" i="8"/>
  <c r="Y8" i="8"/>
  <c r="AX8" i="8"/>
  <c r="AD10" i="8"/>
  <c r="AI4" i="8"/>
  <c r="BC4" i="8"/>
  <c r="I4" i="8"/>
  <c r="AD4" i="8"/>
  <c r="AX4" i="8"/>
  <c r="I8" i="7"/>
  <c r="AR8" i="7"/>
  <c r="AS8" i="7" s="1"/>
  <c r="I4" i="7"/>
  <c r="I5" i="7"/>
  <c r="AR5" i="7"/>
  <c r="AS5" i="7" s="1"/>
  <c r="I9" i="7"/>
  <c r="AR9" i="7"/>
  <c r="AS9" i="7" s="1"/>
  <c r="AR10" i="7"/>
  <c r="AS10" i="7" s="1"/>
  <c r="I10" i="7"/>
  <c r="AR4" i="7"/>
  <c r="AS4" i="7" s="1"/>
  <c r="AR6" i="7"/>
  <c r="AS6" i="7" s="1"/>
  <c r="AR11" i="7"/>
  <c r="AS11" i="7" s="1"/>
  <c r="D13" i="6"/>
  <c r="BC13" i="6"/>
  <c r="AX13" i="6"/>
  <c r="AS13" i="6"/>
  <c r="AN13" i="6"/>
  <c r="AI13" i="6"/>
  <c r="AD13" i="6"/>
  <c r="Y13" i="6"/>
  <c r="BC14" i="6" s="1"/>
  <c r="T13" i="6"/>
  <c r="BB5" i="6"/>
  <c r="BB6" i="6"/>
  <c r="BB7" i="6"/>
  <c r="BB8" i="6"/>
  <c r="BB9" i="6"/>
  <c r="BB10" i="6"/>
  <c r="BB11" i="6"/>
  <c r="BB4" i="6"/>
  <c r="AW5" i="6"/>
  <c r="AW6" i="6"/>
  <c r="AW7" i="6"/>
  <c r="AW8" i="6"/>
  <c r="AW9" i="6"/>
  <c r="AW10" i="6"/>
  <c r="AW11" i="6"/>
  <c r="AW4" i="6"/>
  <c r="AR5" i="6"/>
  <c r="AR6" i="6"/>
  <c r="AR7" i="6"/>
  <c r="AR8" i="6"/>
  <c r="AR9" i="6"/>
  <c r="AR10" i="6"/>
  <c r="AS10" i="6" s="1"/>
  <c r="AR11" i="6"/>
  <c r="AR4" i="6"/>
  <c r="AM11" i="6"/>
  <c r="AM5" i="6"/>
  <c r="AM6" i="6"/>
  <c r="AM7" i="6"/>
  <c r="AN7" i="6" s="1"/>
  <c r="AM8" i="6"/>
  <c r="AM9" i="6"/>
  <c r="AM10" i="6"/>
  <c r="AM4" i="6"/>
  <c r="AI4" i="6"/>
  <c r="AI5" i="6"/>
  <c r="AH5" i="6"/>
  <c r="AH6" i="6"/>
  <c r="AI6" i="6" s="1"/>
  <c r="AH7" i="6"/>
  <c r="AH8" i="6"/>
  <c r="AH9" i="6"/>
  <c r="AH10" i="6"/>
  <c r="AH11" i="6"/>
  <c r="AI11" i="6" s="1"/>
  <c r="AH4" i="6"/>
  <c r="AD12" i="6"/>
  <c r="AD4" i="6"/>
  <c r="AD5" i="6"/>
  <c r="AD6" i="6"/>
  <c r="AD7" i="6"/>
  <c r="AD8" i="6"/>
  <c r="AD9" i="6"/>
  <c r="AC5" i="6"/>
  <c r="AC6" i="6"/>
  <c r="AC7" i="6"/>
  <c r="AC8" i="6"/>
  <c r="AC9" i="6"/>
  <c r="AC10" i="6"/>
  <c r="AC11" i="6"/>
  <c r="AC4" i="6"/>
  <c r="Y12" i="6"/>
  <c r="Y8" i="6"/>
  <c r="Y9" i="6"/>
  <c r="Y10" i="6"/>
  <c r="Y11" i="6"/>
  <c r="Y7" i="6"/>
  <c r="X5" i="6"/>
  <c r="X6" i="6"/>
  <c r="X7" i="6"/>
  <c r="X8" i="6"/>
  <c r="X9" i="6"/>
  <c r="X10" i="6"/>
  <c r="X11" i="6"/>
  <c r="X4" i="6"/>
  <c r="T12" i="6"/>
  <c r="T11" i="6"/>
  <c r="S5" i="6"/>
  <c r="S6" i="6"/>
  <c r="S7" i="6"/>
  <c r="S8" i="6"/>
  <c r="S9" i="6"/>
  <c r="S10" i="6"/>
  <c r="S11" i="6"/>
  <c r="S4" i="6"/>
  <c r="N5" i="6"/>
  <c r="N6" i="6"/>
  <c r="N7" i="6"/>
  <c r="O7" i="6" s="1"/>
  <c r="N8" i="6"/>
  <c r="N9" i="6"/>
  <c r="N10" i="6"/>
  <c r="N11" i="6"/>
  <c r="N4" i="6"/>
  <c r="AB18" i="6"/>
  <c r="W18" i="6"/>
  <c r="R18" i="6"/>
  <c r="M18" i="6"/>
  <c r="J12" i="6"/>
  <c r="BA11" i="6"/>
  <c r="AV11" i="6"/>
  <c r="AQ11" i="6"/>
  <c r="AL11" i="6"/>
  <c r="AG11" i="6"/>
  <c r="AB11" i="6"/>
  <c r="W11" i="6"/>
  <c r="R11" i="6"/>
  <c r="M11" i="6"/>
  <c r="I11" i="6"/>
  <c r="F11" i="6"/>
  <c r="D11" i="6"/>
  <c r="H11" i="6" s="1"/>
  <c r="BA10" i="6"/>
  <c r="AV10" i="6"/>
  <c r="AQ10" i="6"/>
  <c r="AL10" i="6"/>
  <c r="AN10" i="6" s="1"/>
  <c r="AG10" i="6"/>
  <c r="AB10" i="6"/>
  <c r="W10" i="6"/>
  <c r="R10" i="6"/>
  <c r="O10" i="6"/>
  <c r="M10" i="6"/>
  <c r="H10" i="6"/>
  <c r="F10" i="6"/>
  <c r="D10" i="6"/>
  <c r="BA9" i="6"/>
  <c r="AV9" i="6"/>
  <c r="AX9" i="6" s="1"/>
  <c r="AQ9" i="6"/>
  <c r="AL9" i="6"/>
  <c r="AG9" i="6"/>
  <c r="AB9" i="6"/>
  <c r="W9" i="6"/>
  <c r="R9" i="6"/>
  <c r="M9" i="6"/>
  <c r="H9" i="6"/>
  <c r="F9" i="6"/>
  <c r="D9" i="6"/>
  <c r="BA8" i="6"/>
  <c r="AV8" i="6"/>
  <c r="AQ8" i="6"/>
  <c r="AL8" i="6"/>
  <c r="AG8" i="6"/>
  <c r="AB8" i="6"/>
  <c r="W8" i="6"/>
  <c r="R8" i="6"/>
  <c r="M8" i="6"/>
  <c r="F8" i="6"/>
  <c r="D8" i="6"/>
  <c r="H8" i="6" s="1"/>
  <c r="BA7" i="6"/>
  <c r="AV7" i="6"/>
  <c r="AQ7" i="6"/>
  <c r="AL7" i="6"/>
  <c r="AG7" i="6"/>
  <c r="AB7" i="6"/>
  <c r="W7" i="6"/>
  <c r="R7" i="6"/>
  <c r="M7" i="6"/>
  <c r="F7" i="6"/>
  <c r="D7" i="6"/>
  <c r="H7" i="6" s="1"/>
  <c r="BC6" i="6"/>
  <c r="BA6" i="6"/>
  <c r="AV6" i="6"/>
  <c r="AQ6" i="6"/>
  <c r="AL6" i="6"/>
  <c r="AG6" i="6"/>
  <c r="AB6" i="6"/>
  <c r="W6" i="6"/>
  <c r="R6" i="6"/>
  <c r="O6" i="6"/>
  <c r="M6" i="6"/>
  <c r="H6" i="6"/>
  <c r="F6" i="6"/>
  <c r="AN6" i="6" s="1"/>
  <c r="D6" i="6"/>
  <c r="BA5" i="6"/>
  <c r="AV5" i="6"/>
  <c r="AX5" i="6" s="1"/>
  <c r="AQ5" i="6"/>
  <c r="AL5" i="6"/>
  <c r="AG5" i="6"/>
  <c r="AB5" i="6"/>
  <c r="W5" i="6"/>
  <c r="R5" i="6"/>
  <c r="O5" i="6"/>
  <c r="M5" i="6"/>
  <c r="H5" i="6"/>
  <c r="F5" i="6"/>
  <c r="D5" i="6"/>
  <c r="BA4" i="6"/>
  <c r="AV4" i="6"/>
  <c r="AX4" i="6" s="1"/>
  <c r="AQ4" i="6"/>
  <c r="AL4" i="6"/>
  <c r="AG4" i="6"/>
  <c r="AB4" i="6"/>
  <c r="W4" i="6"/>
  <c r="R4" i="6"/>
  <c r="O4" i="6"/>
  <c r="M4" i="6"/>
  <c r="H4" i="6"/>
  <c r="F4" i="6"/>
  <c r="D4" i="6"/>
  <c r="BC14" i="5"/>
  <c r="BC13" i="5"/>
  <c r="AX13" i="5"/>
  <c r="AS13" i="5"/>
  <c r="AN13" i="5"/>
  <c r="AI13" i="5"/>
  <c r="AD13" i="5"/>
  <c r="BC12" i="5"/>
  <c r="BC5" i="5"/>
  <c r="BC6" i="5"/>
  <c r="BC7" i="5"/>
  <c r="BC8" i="5"/>
  <c r="BC9" i="5"/>
  <c r="BC10" i="5"/>
  <c r="BC11" i="5"/>
  <c r="BC4" i="5"/>
  <c r="AX5" i="5"/>
  <c r="AX6" i="5"/>
  <c r="AX7" i="5"/>
  <c r="AX8" i="5"/>
  <c r="AX9" i="5"/>
  <c r="AX10" i="5"/>
  <c r="AX11" i="5"/>
  <c r="AX4" i="5"/>
  <c r="AS5" i="5"/>
  <c r="AS6" i="5"/>
  <c r="AS7" i="5"/>
  <c r="AS8" i="5"/>
  <c r="AS9" i="5"/>
  <c r="AS10" i="5"/>
  <c r="AS11" i="5"/>
  <c r="AS4" i="5"/>
  <c r="AN5" i="5"/>
  <c r="AN6" i="5"/>
  <c r="AN7" i="5"/>
  <c r="AN8" i="5"/>
  <c r="AN9" i="5"/>
  <c r="AN10" i="5"/>
  <c r="AN11" i="5"/>
  <c r="AN4" i="5"/>
  <c r="AI7" i="5"/>
  <c r="AI8" i="5"/>
  <c r="AI9" i="5"/>
  <c r="AI10" i="5"/>
  <c r="AI11" i="5"/>
  <c r="AI6" i="5"/>
  <c r="AD11" i="5"/>
  <c r="AD10" i="5"/>
  <c r="AB18" i="5"/>
  <c r="W18" i="5"/>
  <c r="R18" i="5"/>
  <c r="M18" i="5"/>
  <c r="J12" i="5"/>
  <c r="BA11" i="5"/>
  <c r="AV11" i="5"/>
  <c r="AQ11" i="5"/>
  <c r="AL11" i="5"/>
  <c r="AG11" i="5"/>
  <c r="AB11" i="5"/>
  <c r="W11" i="5"/>
  <c r="R11" i="5"/>
  <c r="M11" i="5"/>
  <c r="H11" i="5"/>
  <c r="AR11" i="5" s="1"/>
  <c r="F11" i="5"/>
  <c r="D11" i="5"/>
  <c r="BA10" i="5"/>
  <c r="AV10" i="5"/>
  <c r="AQ10" i="5"/>
  <c r="AL10" i="5"/>
  <c r="AG10" i="5"/>
  <c r="AB10" i="5"/>
  <c r="W10" i="5"/>
  <c r="R10" i="5"/>
  <c r="M10" i="5"/>
  <c r="F10" i="5"/>
  <c r="D10" i="5"/>
  <c r="H10" i="5" s="1"/>
  <c r="BA9" i="5"/>
  <c r="AV9" i="5"/>
  <c r="AQ9" i="5"/>
  <c r="AL9" i="5"/>
  <c r="AG9" i="5"/>
  <c r="AB9" i="5"/>
  <c r="W9" i="5"/>
  <c r="R9" i="5"/>
  <c r="M9" i="5"/>
  <c r="F9" i="5"/>
  <c r="D9" i="5"/>
  <c r="H9" i="5" s="1"/>
  <c r="BA8" i="5"/>
  <c r="AV8" i="5"/>
  <c r="AQ8" i="5"/>
  <c r="AL8" i="5"/>
  <c r="AG8" i="5"/>
  <c r="AB8" i="5"/>
  <c r="W8" i="5"/>
  <c r="R8" i="5"/>
  <c r="M8" i="5"/>
  <c r="I8" i="5"/>
  <c r="F8" i="5"/>
  <c r="D8" i="5"/>
  <c r="H8" i="5" s="1"/>
  <c r="BA7" i="5"/>
  <c r="AV7" i="5"/>
  <c r="AQ7" i="5"/>
  <c r="AL7" i="5"/>
  <c r="AG7" i="5"/>
  <c r="AB7" i="5"/>
  <c r="W7" i="5"/>
  <c r="R7" i="5"/>
  <c r="M7" i="5"/>
  <c r="I7" i="5"/>
  <c r="F7" i="5"/>
  <c r="D7" i="5"/>
  <c r="H7" i="5" s="1"/>
  <c r="BA6" i="5"/>
  <c r="AV6" i="5"/>
  <c r="AQ6" i="5"/>
  <c r="AL6" i="5"/>
  <c r="AG6" i="5"/>
  <c r="AB6" i="5"/>
  <c r="W6" i="5"/>
  <c r="R6" i="5"/>
  <c r="M6" i="5"/>
  <c r="F6" i="5"/>
  <c r="D6" i="5"/>
  <c r="H6" i="5" s="1"/>
  <c r="BA5" i="5"/>
  <c r="AV5" i="5"/>
  <c r="AQ5" i="5"/>
  <c r="AL5" i="5"/>
  <c r="AG5" i="5"/>
  <c r="AB5" i="5"/>
  <c r="X5" i="5"/>
  <c r="W5" i="5"/>
  <c r="R5" i="5"/>
  <c r="M5" i="5"/>
  <c r="H5" i="5"/>
  <c r="F5" i="5"/>
  <c r="D5" i="5"/>
  <c r="BB4" i="5"/>
  <c r="BA4" i="5"/>
  <c r="AV4" i="5"/>
  <c r="AQ4" i="5"/>
  <c r="AL4" i="5"/>
  <c r="AG4" i="5"/>
  <c r="AB4" i="5"/>
  <c r="W4" i="5"/>
  <c r="R4" i="5"/>
  <c r="N4" i="5"/>
  <c r="O4" i="5" s="1"/>
  <c r="M4" i="5"/>
  <c r="H4" i="5"/>
  <c r="AM4" i="5" s="1"/>
  <c r="F4" i="5"/>
  <c r="D4" i="5"/>
  <c r="BC14" i="4"/>
  <c r="BC13" i="4"/>
  <c r="AX13" i="4"/>
  <c r="AS13" i="4"/>
  <c r="AN13" i="4"/>
  <c r="AI13" i="4"/>
  <c r="AD13" i="4"/>
  <c r="Y13" i="4"/>
  <c r="T13" i="4"/>
  <c r="BC5" i="4"/>
  <c r="BC6" i="4"/>
  <c r="BC7" i="4"/>
  <c r="BC8" i="4"/>
  <c r="BC9" i="4"/>
  <c r="BC10" i="4"/>
  <c r="BC11" i="4"/>
  <c r="BB5" i="4"/>
  <c r="BB6" i="4"/>
  <c r="BB7" i="4"/>
  <c r="BB8" i="4"/>
  <c r="BB9" i="4"/>
  <c r="BB10" i="4"/>
  <c r="BB11" i="4"/>
  <c r="BC4" i="4"/>
  <c r="BB4" i="4"/>
  <c r="AW5" i="4"/>
  <c r="AW6" i="4"/>
  <c r="AW7" i="4"/>
  <c r="AW8" i="4"/>
  <c r="AW9" i="4"/>
  <c r="AW10" i="4"/>
  <c r="AW11" i="4"/>
  <c r="AW4" i="4"/>
  <c r="AR5" i="4"/>
  <c r="AR6" i="4"/>
  <c r="AR7" i="4"/>
  <c r="AR8" i="4"/>
  <c r="AR9" i="4"/>
  <c r="AR10" i="4"/>
  <c r="AR11" i="4"/>
  <c r="AR4" i="4"/>
  <c r="AM5" i="4"/>
  <c r="AM6" i="4"/>
  <c r="AM7" i="4"/>
  <c r="AM8" i="4"/>
  <c r="AM9" i="4"/>
  <c r="AM10" i="4"/>
  <c r="AM11" i="4"/>
  <c r="AM4" i="4"/>
  <c r="AI12" i="4"/>
  <c r="AI4" i="4"/>
  <c r="AI5" i="4"/>
  <c r="AH5" i="4"/>
  <c r="AH6" i="4"/>
  <c r="AH7" i="4"/>
  <c r="AH8" i="4"/>
  <c r="AH9" i="4"/>
  <c r="AH10" i="4"/>
  <c r="AH11" i="4"/>
  <c r="AH4" i="4"/>
  <c r="AD12" i="4"/>
  <c r="AD5" i="4"/>
  <c r="AD6" i="4"/>
  <c r="AD7" i="4"/>
  <c r="AD8" i="4"/>
  <c r="AD9" i="4"/>
  <c r="AD10" i="4"/>
  <c r="AD11" i="4"/>
  <c r="AD4" i="4"/>
  <c r="AC5" i="4"/>
  <c r="AC6" i="4"/>
  <c r="AC7" i="4"/>
  <c r="AC8" i="4"/>
  <c r="AC9" i="4"/>
  <c r="AC10" i="4"/>
  <c r="AC11" i="4"/>
  <c r="AC4" i="4"/>
  <c r="Y12" i="4"/>
  <c r="T12" i="4"/>
  <c r="Y8" i="4"/>
  <c r="Y9" i="4"/>
  <c r="Y10" i="4"/>
  <c r="Y11" i="4"/>
  <c r="Y7" i="4"/>
  <c r="X5" i="4"/>
  <c r="X6" i="4"/>
  <c r="X7" i="4"/>
  <c r="X8" i="4"/>
  <c r="X9" i="4"/>
  <c r="X10" i="4"/>
  <c r="X11" i="4"/>
  <c r="X4" i="4"/>
  <c r="T11" i="4"/>
  <c r="S5" i="4"/>
  <c r="S6" i="4"/>
  <c r="S7" i="4"/>
  <c r="S8" i="4"/>
  <c r="S9" i="4"/>
  <c r="S10" i="4"/>
  <c r="S11" i="4"/>
  <c r="S4" i="4"/>
  <c r="N5" i="4"/>
  <c r="N6" i="4"/>
  <c r="N7" i="4"/>
  <c r="N8" i="4"/>
  <c r="N9" i="4"/>
  <c r="N10" i="4"/>
  <c r="N11" i="4"/>
  <c r="N4" i="4"/>
  <c r="AB18" i="4"/>
  <c r="W18" i="4"/>
  <c r="R18" i="4"/>
  <c r="M18" i="4"/>
  <c r="J12" i="4"/>
  <c r="BA11" i="4"/>
  <c r="AV11" i="4"/>
  <c r="AQ11" i="4"/>
  <c r="AL11" i="4"/>
  <c r="AG11" i="4"/>
  <c r="AB11" i="4"/>
  <c r="W11" i="4"/>
  <c r="R11" i="4"/>
  <c r="M11" i="4"/>
  <c r="F11" i="4"/>
  <c r="D11" i="4"/>
  <c r="H11" i="4" s="1"/>
  <c r="BA10" i="4"/>
  <c r="AV10" i="4"/>
  <c r="AQ10" i="4"/>
  <c r="AL10" i="4"/>
  <c r="AG10" i="4"/>
  <c r="AB10" i="4"/>
  <c r="W10" i="4"/>
  <c r="R10" i="4"/>
  <c r="M10" i="4"/>
  <c r="H10" i="4"/>
  <c r="F10" i="4"/>
  <c r="D10" i="4"/>
  <c r="BA9" i="4"/>
  <c r="AV9" i="4"/>
  <c r="AQ9" i="4"/>
  <c r="AL9" i="4"/>
  <c r="AG9" i="4"/>
  <c r="AB9" i="4"/>
  <c r="W9" i="4"/>
  <c r="R9" i="4"/>
  <c r="M9" i="4"/>
  <c r="H9" i="4"/>
  <c r="F9" i="4"/>
  <c r="D9" i="4"/>
  <c r="BA8" i="4"/>
  <c r="AV8" i="4"/>
  <c r="AQ8" i="4"/>
  <c r="AL8" i="4"/>
  <c r="AG8" i="4"/>
  <c r="AB8" i="4"/>
  <c r="W8" i="4"/>
  <c r="R8" i="4"/>
  <c r="M8" i="4"/>
  <c r="H8" i="4"/>
  <c r="F8" i="4"/>
  <c r="D8" i="4"/>
  <c r="BA7" i="4"/>
  <c r="AV7" i="4"/>
  <c r="AQ7" i="4"/>
  <c r="AL7" i="4"/>
  <c r="AG7" i="4"/>
  <c r="AB7" i="4"/>
  <c r="W7" i="4"/>
  <c r="R7" i="4"/>
  <c r="M7" i="4"/>
  <c r="H7" i="4"/>
  <c r="F7" i="4"/>
  <c r="D7" i="4"/>
  <c r="BA6" i="4"/>
  <c r="AV6" i="4"/>
  <c r="AQ6" i="4"/>
  <c r="AL6" i="4"/>
  <c r="AG6" i="4"/>
  <c r="AB6" i="4"/>
  <c r="W6" i="4"/>
  <c r="R6" i="4"/>
  <c r="M6" i="4"/>
  <c r="H6" i="4"/>
  <c r="F6" i="4"/>
  <c r="D6" i="4"/>
  <c r="BA5" i="4"/>
  <c r="AV5" i="4"/>
  <c r="AQ5" i="4"/>
  <c r="AL5" i="4"/>
  <c r="AG5" i="4"/>
  <c r="AB5" i="4"/>
  <c r="W5" i="4"/>
  <c r="R5" i="4"/>
  <c r="M5" i="4"/>
  <c r="F5" i="4"/>
  <c r="D5" i="4"/>
  <c r="H5" i="4" s="1"/>
  <c r="BA4" i="4"/>
  <c r="AV4" i="4"/>
  <c r="AQ4" i="4"/>
  <c r="AL4" i="4"/>
  <c r="AN4" i="4" s="1"/>
  <c r="AG4" i="4"/>
  <c r="AB4" i="4"/>
  <c r="W4" i="4"/>
  <c r="R4" i="4"/>
  <c r="M4" i="4"/>
  <c r="I4" i="4"/>
  <c r="F4" i="4"/>
  <c r="D4" i="4"/>
  <c r="H4" i="4" s="1"/>
  <c r="BC14" i="1"/>
  <c r="AX13" i="1"/>
  <c r="AS13" i="1"/>
  <c r="AN13" i="1"/>
  <c r="AI13" i="1"/>
  <c r="AD13" i="1"/>
  <c r="BA11" i="1"/>
  <c r="BA10" i="1"/>
  <c r="BA9" i="1"/>
  <c r="BA8" i="1"/>
  <c r="BA7" i="1"/>
  <c r="BA6" i="1"/>
  <c r="BA5" i="1"/>
  <c r="BA4" i="1"/>
  <c r="AB18" i="1"/>
  <c r="W18" i="1"/>
  <c r="R18" i="1"/>
  <c r="M18" i="1"/>
  <c r="R5" i="1"/>
  <c r="R6" i="1"/>
  <c r="R7" i="1"/>
  <c r="R8" i="1"/>
  <c r="R9" i="1"/>
  <c r="R10" i="1"/>
  <c r="R11" i="1"/>
  <c r="R4" i="1"/>
  <c r="AS12" i="7" l="1"/>
  <c r="I6" i="7"/>
  <c r="AH7" i="7"/>
  <c r="AI7" i="7" s="1"/>
  <c r="X11" i="7"/>
  <c r="Y11" i="7" s="1"/>
  <c r="AH8" i="7"/>
  <c r="AI8" i="7" s="1"/>
  <c r="X8" i="7"/>
  <c r="Y8" i="7" s="1"/>
  <c r="AH5" i="7"/>
  <c r="AI5" i="7" s="1"/>
  <c r="X5" i="7"/>
  <c r="AC10" i="7"/>
  <c r="AD10" i="7" s="1"/>
  <c r="S10" i="7"/>
  <c r="T10" i="7" s="1"/>
  <c r="T12" i="7" s="1"/>
  <c r="AH10" i="7"/>
  <c r="AI10" i="7" s="1"/>
  <c r="AM7" i="7"/>
  <c r="AN7" i="7" s="1"/>
  <c r="AH11" i="7"/>
  <c r="AI11" i="7" s="1"/>
  <c r="I11" i="7"/>
  <c r="AM11" i="7"/>
  <c r="AN11" i="7" s="1"/>
  <c r="AC11" i="7"/>
  <c r="AD11" i="7" s="1"/>
  <c r="AZ13" i="15"/>
  <c r="AZ12" i="15"/>
  <c r="AU5" i="7"/>
  <c r="AU4" i="7"/>
  <c r="AU9" i="7"/>
  <c r="AU6" i="7"/>
  <c r="AD7" i="7"/>
  <c r="BE12" i="16"/>
  <c r="BE13" i="16"/>
  <c r="T13" i="16"/>
  <c r="BC14" i="16" s="1"/>
  <c r="AS12" i="8"/>
  <c r="AS13" i="8" s="1"/>
  <c r="BE8" i="8"/>
  <c r="AI12" i="8"/>
  <c r="AI13" i="8" s="1"/>
  <c r="Y12" i="8"/>
  <c r="BE7" i="8"/>
  <c r="T12" i="8"/>
  <c r="BE11" i="8"/>
  <c r="BE10" i="8"/>
  <c r="BE9" i="8"/>
  <c r="BE4" i="8"/>
  <c r="AD12" i="8"/>
  <c r="AD13" i="8" s="1"/>
  <c r="BE5" i="8"/>
  <c r="AX12" i="8"/>
  <c r="AX13" i="8" s="1"/>
  <c r="BE6" i="8"/>
  <c r="BC8" i="6"/>
  <c r="AI8" i="6"/>
  <c r="AN8" i="6"/>
  <c r="O8" i="6"/>
  <c r="AX7" i="6"/>
  <c r="I7" i="6"/>
  <c r="BC7" i="6"/>
  <c r="AI7" i="6"/>
  <c r="BE7" i="6" s="1"/>
  <c r="AS8" i="6"/>
  <c r="AS7" i="6"/>
  <c r="I8" i="6"/>
  <c r="AN9" i="6"/>
  <c r="O9" i="6"/>
  <c r="AS9" i="6"/>
  <c r="AN11" i="6"/>
  <c r="AS11" i="6"/>
  <c r="O11" i="6"/>
  <c r="AX11" i="6"/>
  <c r="AD11" i="6"/>
  <c r="AN4" i="6"/>
  <c r="AS4" i="6"/>
  <c r="I4" i="6"/>
  <c r="BC4" i="6"/>
  <c r="AN5" i="6"/>
  <c r="AS5" i="6"/>
  <c r="I5" i="6"/>
  <c r="BC5" i="6"/>
  <c r="AS6" i="6"/>
  <c r="BE6" i="6" s="1"/>
  <c r="AX6" i="6"/>
  <c r="I6" i="6"/>
  <c r="AX8" i="6"/>
  <c r="I9" i="6"/>
  <c r="AI9" i="6"/>
  <c r="BC9" i="6"/>
  <c r="AX10" i="6"/>
  <c r="AD10" i="6"/>
  <c r="BC10" i="6"/>
  <c r="AI10" i="6"/>
  <c r="I10" i="6"/>
  <c r="BC11" i="6"/>
  <c r="BB6" i="5"/>
  <c r="AH6" i="5"/>
  <c r="X6" i="5"/>
  <c r="AR6" i="5"/>
  <c r="AC6" i="5"/>
  <c r="S6" i="5"/>
  <c r="AM6" i="5"/>
  <c r="N6" i="5"/>
  <c r="O6" i="5" s="1"/>
  <c r="AW6" i="5"/>
  <c r="AM10" i="5"/>
  <c r="X10" i="5"/>
  <c r="AW10" i="5"/>
  <c r="AC10" i="5"/>
  <c r="S10" i="5"/>
  <c r="BB10" i="5"/>
  <c r="I10" i="5"/>
  <c r="AR10" i="5"/>
  <c r="N10" i="5"/>
  <c r="O10" i="5" s="1"/>
  <c r="AH10" i="5"/>
  <c r="BB5" i="5"/>
  <c r="N5" i="5"/>
  <c r="O5" i="5" s="1"/>
  <c r="AR5" i="5"/>
  <c r="I5" i="5"/>
  <c r="AM5" i="5"/>
  <c r="AC5" i="5"/>
  <c r="S5" i="5"/>
  <c r="AH5" i="5"/>
  <c r="AW5" i="5"/>
  <c r="BB9" i="5"/>
  <c r="AH9" i="5"/>
  <c r="X9" i="5"/>
  <c r="AR9" i="5"/>
  <c r="AC9" i="5"/>
  <c r="S9" i="5"/>
  <c r="AM9" i="5"/>
  <c r="N9" i="5"/>
  <c r="O9" i="5" s="1"/>
  <c r="AW9" i="5"/>
  <c r="I6" i="5"/>
  <c r="BB8" i="5"/>
  <c r="AH8" i="5"/>
  <c r="BE8" i="5" s="1"/>
  <c r="X8" i="5"/>
  <c r="AR8" i="5"/>
  <c r="AC8" i="5"/>
  <c r="S8" i="5"/>
  <c r="AM8" i="5"/>
  <c r="N8" i="5"/>
  <c r="O8" i="5" s="1"/>
  <c r="AW8" i="5"/>
  <c r="BB7" i="5"/>
  <c r="AH7" i="5"/>
  <c r="X7" i="5"/>
  <c r="AR7" i="5"/>
  <c r="AC7" i="5"/>
  <c r="S7" i="5"/>
  <c r="AM7" i="5"/>
  <c r="N7" i="5"/>
  <c r="O7" i="5" s="1"/>
  <c r="AW7" i="5"/>
  <c r="I9" i="5"/>
  <c r="X11" i="5"/>
  <c r="AM11" i="5"/>
  <c r="I4" i="5"/>
  <c r="AR4" i="5"/>
  <c r="S11" i="5"/>
  <c r="AC11" i="5"/>
  <c r="AW11" i="5"/>
  <c r="X4" i="5"/>
  <c r="AH4" i="5"/>
  <c r="AW4" i="5"/>
  <c r="I11" i="5"/>
  <c r="AH11" i="5"/>
  <c r="BB11" i="5"/>
  <c r="S4" i="5"/>
  <c r="AC4" i="5"/>
  <c r="N11" i="5"/>
  <c r="O11" i="5" s="1"/>
  <c r="AS5" i="4"/>
  <c r="I5" i="4"/>
  <c r="AX5" i="4"/>
  <c r="AS6" i="4"/>
  <c r="AX6" i="4"/>
  <c r="I6" i="4"/>
  <c r="AS7" i="4"/>
  <c r="AX7" i="4"/>
  <c r="I7" i="4"/>
  <c r="AS8" i="4"/>
  <c r="AX8" i="4"/>
  <c r="I8" i="4"/>
  <c r="AS9" i="4"/>
  <c r="AX9" i="4"/>
  <c r="I9" i="4"/>
  <c r="AX10" i="4"/>
  <c r="AI10" i="4"/>
  <c r="I10" i="4"/>
  <c r="AN10" i="4"/>
  <c r="AS10" i="4"/>
  <c r="AI11" i="4"/>
  <c r="I11" i="4"/>
  <c r="AN11" i="4"/>
  <c r="AS11" i="4"/>
  <c r="AI6" i="4"/>
  <c r="AI7" i="4"/>
  <c r="AI8" i="4"/>
  <c r="BE8" i="4" s="1"/>
  <c r="AI9" i="4"/>
  <c r="AX11" i="4"/>
  <c r="AX4" i="4"/>
  <c r="AS4" i="4"/>
  <c r="AN5" i="4"/>
  <c r="BE5" i="4" s="1"/>
  <c r="AN6" i="4"/>
  <c r="AN7" i="4"/>
  <c r="AN8" i="4"/>
  <c r="AN9" i="4"/>
  <c r="B15" i="3"/>
  <c r="C15" i="3" s="1"/>
  <c r="D15" i="3" s="1"/>
  <c r="E15" i="3" s="1"/>
  <c r="F15" i="3" s="1"/>
  <c r="B14" i="3"/>
  <c r="C14" i="3" s="1"/>
  <c r="D14" i="3" s="1"/>
  <c r="E14" i="3" s="1"/>
  <c r="F14" i="3" s="1"/>
  <c r="B13" i="3"/>
  <c r="C13" i="3" s="1"/>
  <c r="D13" i="3" s="1"/>
  <c r="E13" i="3" s="1"/>
  <c r="F13" i="3" s="1"/>
  <c r="B12" i="3"/>
  <c r="C12" i="3" s="1"/>
  <c r="D12" i="3" s="1"/>
  <c r="E12" i="3" s="1"/>
  <c r="F12" i="3" s="1"/>
  <c r="B11" i="3"/>
  <c r="C11" i="3" s="1"/>
  <c r="D11" i="3" s="1"/>
  <c r="E11" i="3" s="1"/>
  <c r="F11" i="3" s="1"/>
  <c r="B10" i="3"/>
  <c r="C10" i="3" s="1"/>
  <c r="D10" i="3" s="1"/>
  <c r="E10" i="3" s="1"/>
  <c r="F10" i="3" s="1"/>
  <c r="B9" i="3"/>
  <c r="C9" i="3" s="1"/>
  <c r="D9" i="3" s="1"/>
  <c r="E9" i="3" s="1"/>
  <c r="F9" i="3" s="1"/>
  <c r="B8" i="3"/>
  <c r="C8" i="3" s="1"/>
  <c r="D8" i="3" s="1"/>
  <c r="E8" i="3" s="1"/>
  <c r="F8" i="3" s="1"/>
  <c r="B7" i="3"/>
  <c r="C7" i="3" s="1"/>
  <c r="D7" i="3" s="1"/>
  <c r="E7" i="3" s="1"/>
  <c r="F7" i="3" s="1"/>
  <c r="G11" i="2"/>
  <c r="D12" i="2"/>
  <c r="F5" i="2"/>
  <c r="G5" i="2" s="1"/>
  <c r="F6" i="2"/>
  <c r="G6" i="2" s="1"/>
  <c r="F7" i="2"/>
  <c r="G7" i="2" s="1"/>
  <c r="F8" i="2"/>
  <c r="G8" i="2" s="1"/>
  <c r="F9" i="2"/>
  <c r="G9" i="2" s="1"/>
  <c r="F10" i="2"/>
  <c r="G10" i="2" s="1"/>
  <c r="F4" i="2"/>
  <c r="G4" i="2" s="1"/>
  <c r="Y13" i="15" l="1"/>
  <c r="AX26" i="15"/>
  <c r="AS26" i="15"/>
  <c r="Y26" i="15"/>
  <c r="AI26" i="15"/>
  <c r="AD26" i="15"/>
  <c r="AN26" i="15"/>
  <c r="Y12" i="7"/>
  <c r="AU7" i="7"/>
  <c r="AU11" i="7"/>
  <c r="AD12" i="7"/>
  <c r="AU8" i="7"/>
  <c r="AN12" i="7"/>
  <c r="AU10" i="7"/>
  <c r="AI12" i="7"/>
  <c r="AN13" i="15"/>
  <c r="AD13" i="15"/>
  <c r="AI13" i="15"/>
  <c r="BA13" i="15"/>
  <c r="AX13" i="15"/>
  <c r="AS13" i="15"/>
  <c r="BF13" i="16"/>
  <c r="BE12" i="8"/>
  <c r="BE13" i="8"/>
  <c r="T13" i="8" s="1"/>
  <c r="BC12" i="6"/>
  <c r="AX12" i="6"/>
  <c r="AI12" i="6"/>
  <c r="BE8" i="6"/>
  <c r="AN12" i="6"/>
  <c r="BE4" i="6"/>
  <c r="BE9" i="6"/>
  <c r="AS12" i="6"/>
  <c r="BE11" i="6"/>
  <c r="BE10" i="6"/>
  <c r="BE5" i="6"/>
  <c r="BE9" i="5"/>
  <c r="AI12" i="5"/>
  <c r="BE6" i="5"/>
  <c r="AS12" i="5"/>
  <c r="BE7" i="5"/>
  <c r="BE10" i="5"/>
  <c r="AD12" i="5"/>
  <c r="BE5" i="5"/>
  <c r="AN12" i="5"/>
  <c r="AX12" i="5"/>
  <c r="BE11" i="5"/>
  <c r="BE4" i="5"/>
  <c r="BE11" i="4"/>
  <c r="AX12" i="4"/>
  <c r="BE6" i="4"/>
  <c r="BE10" i="4"/>
  <c r="AN12" i="4"/>
  <c r="AS12" i="4"/>
  <c r="BE9" i="4"/>
  <c r="BE7" i="4"/>
  <c r="BE4" i="4"/>
  <c r="G11" i="3"/>
  <c r="H11" i="3"/>
  <c r="H14" i="3"/>
  <c r="G14" i="3"/>
  <c r="H10" i="3"/>
  <c r="G10" i="3"/>
  <c r="H13" i="3"/>
  <c r="G13" i="3"/>
  <c r="H8" i="3"/>
  <c r="G8" i="3"/>
  <c r="H9" i="3"/>
  <c r="G9" i="3"/>
  <c r="G7" i="3"/>
  <c r="H7" i="3"/>
  <c r="H12" i="3"/>
  <c r="G12" i="3"/>
  <c r="G15" i="3"/>
  <c r="H15" i="3"/>
  <c r="C5" i="2"/>
  <c r="D5" i="2" s="1"/>
  <c r="C6" i="2"/>
  <c r="D6" i="2" s="1"/>
  <c r="C7" i="2"/>
  <c r="D7" i="2" s="1"/>
  <c r="C8" i="2"/>
  <c r="D8" i="2" s="1"/>
  <c r="C9" i="2"/>
  <c r="D9" i="2" s="1"/>
  <c r="C10" i="2"/>
  <c r="D10" i="2" s="1"/>
  <c r="C11" i="2"/>
  <c r="D11" i="2" s="1"/>
  <c r="C4" i="2"/>
  <c r="D4" i="2" s="1"/>
  <c r="AV13" i="7" l="1"/>
  <c r="AV12" i="7"/>
  <c r="Y13" i="8"/>
  <c r="BC14" i="8" s="1"/>
  <c r="BF13" i="8"/>
  <c r="BE13" i="6"/>
  <c r="BE12" i="6"/>
  <c r="BE12" i="5"/>
  <c r="BE13" i="5"/>
  <c r="BE13" i="4"/>
  <c r="BE12" i="4"/>
  <c r="L4" i="2"/>
  <c r="M4" i="2" s="1"/>
  <c r="L5" i="2"/>
  <c r="M5" i="2" s="1"/>
  <c r="L6" i="2"/>
  <c r="M6" i="2" s="1"/>
  <c r="L7" i="2"/>
  <c r="M7" i="2" s="1"/>
  <c r="L8" i="2"/>
  <c r="M8" i="2" s="1"/>
  <c r="L9" i="2"/>
  <c r="M9" i="2" s="1"/>
  <c r="L10" i="2"/>
  <c r="M10" i="2" s="1"/>
  <c r="L11" i="2"/>
  <c r="M11" i="2" s="1"/>
  <c r="L12" i="2"/>
  <c r="M12" i="2" s="1"/>
  <c r="T13" i="7" l="1"/>
  <c r="AS13" i="7"/>
  <c r="Y13" i="7"/>
  <c r="AW13" i="7"/>
  <c r="AN13" i="7"/>
  <c r="T26" i="7"/>
  <c r="Y26" i="7"/>
  <c r="AD13" i="7"/>
  <c r="AI26" i="7"/>
  <c r="AI13" i="7"/>
  <c r="AD26" i="7"/>
  <c r="AN26" i="7"/>
  <c r="AS26" i="7"/>
  <c r="BF13" i="6"/>
  <c r="BF13" i="5"/>
  <c r="BF13" i="4"/>
  <c r="I4" i="2"/>
  <c r="J4" i="2" s="1"/>
  <c r="I12" i="2"/>
  <c r="J12" i="2" s="1"/>
  <c r="I6" i="2"/>
  <c r="J6" i="2" s="1"/>
  <c r="I7" i="2"/>
  <c r="J7" i="2" s="1"/>
  <c r="I8" i="2"/>
  <c r="J8" i="2" s="1"/>
  <c r="I9" i="2"/>
  <c r="J9" i="2" s="1"/>
  <c r="I10" i="2"/>
  <c r="J10" i="2" s="1"/>
  <c r="I11" i="2"/>
  <c r="J11" i="2" s="1"/>
  <c r="I5" i="2"/>
  <c r="J5" i="2" s="1"/>
  <c r="AV11" i="1" l="1"/>
  <c r="AV10" i="1"/>
  <c r="AV9" i="1"/>
  <c r="AV8" i="1"/>
  <c r="AV7" i="1"/>
  <c r="AV6" i="1"/>
  <c r="AV5" i="1"/>
  <c r="AQ11" i="1"/>
  <c r="AQ10" i="1"/>
  <c r="AQ9" i="1"/>
  <c r="AQ8" i="1"/>
  <c r="AQ7" i="1"/>
  <c r="AQ6" i="1"/>
  <c r="AQ5" i="1"/>
  <c r="AL11" i="1"/>
  <c r="AL10" i="1"/>
  <c r="AL9" i="1"/>
  <c r="AL8" i="1"/>
  <c r="AL7" i="1"/>
  <c r="AL6" i="1"/>
  <c r="AL5" i="1"/>
  <c r="AL4" i="1"/>
  <c r="AV4" i="1"/>
  <c r="AQ4" i="1"/>
  <c r="AG11" i="1"/>
  <c r="AG10" i="1"/>
  <c r="AG9" i="1"/>
  <c r="AG8" i="1"/>
  <c r="AG7" i="1"/>
  <c r="AG6" i="1"/>
  <c r="AG5" i="1"/>
  <c r="AG4" i="1"/>
  <c r="AB5" i="1"/>
  <c r="AB6" i="1"/>
  <c r="AB7" i="1"/>
  <c r="AB8" i="1"/>
  <c r="AB9" i="1"/>
  <c r="AB10" i="1"/>
  <c r="AB11" i="1"/>
  <c r="AB4" i="1"/>
  <c r="W11" i="1"/>
  <c r="W10" i="1"/>
  <c r="W9" i="1"/>
  <c r="W8" i="1"/>
  <c r="W7" i="1"/>
  <c r="W6" i="1"/>
  <c r="W5" i="1"/>
  <c r="W4" i="1"/>
  <c r="M11" i="1"/>
  <c r="M10" i="1"/>
  <c r="M9" i="1"/>
  <c r="M8" i="1"/>
  <c r="M7" i="1"/>
  <c r="M6" i="1"/>
  <c r="M5" i="1"/>
  <c r="M4" i="1"/>
  <c r="J12" i="1" l="1"/>
  <c r="D5" i="1"/>
  <c r="H5" i="1" s="1"/>
  <c r="D6" i="1"/>
  <c r="H6" i="1" s="1"/>
  <c r="D7" i="1"/>
  <c r="H7" i="1" s="1"/>
  <c r="D8" i="1"/>
  <c r="H8" i="1" s="1"/>
  <c r="D9" i="1"/>
  <c r="H9" i="1" s="1"/>
  <c r="D10" i="1"/>
  <c r="H10" i="1" s="1"/>
  <c r="D11" i="1"/>
  <c r="H11" i="1" s="1"/>
  <c r="D4" i="1"/>
  <c r="H4" i="1" s="1"/>
  <c r="F5" i="1"/>
  <c r="F6" i="1"/>
  <c r="F7" i="1"/>
  <c r="F8" i="1"/>
  <c r="F9" i="1"/>
  <c r="F10" i="1"/>
  <c r="F11" i="1"/>
  <c r="F4" i="1"/>
  <c r="BB4" i="1" l="1"/>
  <c r="BB8" i="1"/>
  <c r="BB11" i="1"/>
  <c r="BB7" i="1"/>
  <c r="BB10" i="1"/>
  <c r="BB6" i="1"/>
  <c r="BB9" i="1"/>
  <c r="BB5" i="1"/>
  <c r="AH4" i="1"/>
  <c r="AW4" i="1"/>
  <c r="AX4" i="1" s="1"/>
  <c r="AR4" i="1"/>
  <c r="AS4" i="1" s="1"/>
  <c r="X4" i="1"/>
  <c r="AC4" i="1"/>
  <c r="AM4" i="1"/>
  <c r="AN4" i="1" s="1"/>
  <c r="S4" i="1"/>
  <c r="N4" i="1"/>
  <c r="O4" i="1" s="1"/>
  <c r="AR8" i="1"/>
  <c r="AS8" i="1" s="1"/>
  <c r="AH8" i="1"/>
  <c r="AI8" i="1" s="1"/>
  <c r="AW8" i="1"/>
  <c r="AX8" i="1" s="1"/>
  <c r="AC8" i="1"/>
  <c r="X8" i="1"/>
  <c r="AM8" i="1"/>
  <c r="AN8" i="1" s="1"/>
  <c r="S8" i="1"/>
  <c r="N8" i="1"/>
  <c r="O8" i="1" s="1"/>
  <c r="AC11" i="1"/>
  <c r="AD11" i="1" s="1"/>
  <c r="AR11" i="1"/>
  <c r="AS11" i="1" s="1"/>
  <c r="AM11" i="1"/>
  <c r="AN11" i="1" s="1"/>
  <c r="X11" i="1"/>
  <c r="S11" i="1"/>
  <c r="N11" i="1"/>
  <c r="O11" i="1" s="1"/>
  <c r="AH11" i="1"/>
  <c r="AI11" i="1" s="1"/>
  <c r="AW11" i="1"/>
  <c r="AX11" i="1" s="1"/>
  <c r="I7" i="1"/>
  <c r="AW7" i="1"/>
  <c r="AX7" i="1" s="1"/>
  <c r="AC7" i="1"/>
  <c r="AR7" i="1"/>
  <c r="AS7" i="1" s="1"/>
  <c r="AM7" i="1"/>
  <c r="AN7" i="1" s="1"/>
  <c r="X7" i="1"/>
  <c r="S7" i="1"/>
  <c r="N7" i="1"/>
  <c r="O7" i="1" s="1"/>
  <c r="AH7" i="1"/>
  <c r="AI7" i="1" s="1"/>
  <c r="AR10" i="1"/>
  <c r="AS10" i="1" s="1"/>
  <c r="AC10" i="1"/>
  <c r="AD10" i="1" s="1"/>
  <c r="AW10" i="1"/>
  <c r="AX10" i="1" s="1"/>
  <c r="AM10" i="1"/>
  <c r="AN10" i="1" s="1"/>
  <c r="X10" i="1"/>
  <c r="S10" i="1"/>
  <c r="N10" i="1"/>
  <c r="O10" i="1" s="1"/>
  <c r="AH10" i="1"/>
  <c r="AI10" i="1" s="1"/>
  <c r="AR6" i="1"/>
  <c r="AS6" i="1" s="1"/>
  <c r="AC6" i="1"/>
  <c r="AM6" i="1"/>
  <c r="AN6" i="1" s="1"/>
  <c r="X6" i="1"/>
  <c r="S6" i="1"/>
  <c r="N6" i="1"/>
  <c r="O6" i="1" s="1"/>
  <c r="AH6" i="1"/>
  <c r="AI6" i="1" s="1"/>
  <c r="AW6" i="1"/>
  <c r="AX6" i="1" s="1"/>
  <c r="AW9" i="1"/>
  <c r="AX9" i="1" s="1"/>
  <c r="AM9" i="1"/>
  <c r="AN9" i="1" s="1"/>
  <c r="X9" i="1"/>
  <c r="S9" i="1"/>
  <c r="N9" i="1"/>
  <c r="O9" i="1" s="1"/>
  <c r="AH9" i="1"/>
  <c r="AI9" i="1" s="1"/>
  <c r="AR9" i="1"/>
  <c r="AS9" i="1" s="1"/>
  <c r="AC9" i="1"/>
  <c r="AM5" i="1"/>
  <c r="AN5" i="1" s="1"/>
  <c r="X5" i="1"/>
  <c r="S5" i="1"/>
  <c r="N5" i="1"/>
  <c r="O5" i="1" s="1"/>
  <c r="AH5" i="1"/>
  <c r="AW5" i="1"/>
  <c r="AX5" i="1" s="1"/>
  <c r="AR5" i="1"/>
  <c r="AS5" i="1" s="1"/>
  <c r="AC5" i="1"/>
  <c r="I9" i="1"/>
  <c r="I6" i="1"/>
  <c r="I5" i="1"/>
  <c r="I4" i="1"/>
  <c r="I8" i="1"/>
  <c r="I10" i="1"/>
  <c r="I11" i="1"/>
  <c r="BE5" i="1" l="1"/>
  <c r="BE8" i="1"/>
  <c r="BE4" i="1"/>
  <c r="AN12" i="1"/>
  <c r="AX12" i="1"/>
  <c r="BE7" i="1"/>
  <c r="BE11" i="1"/>
  <c r="AI12" i="1"/>
  <c r="BE6" i="1"/>
  <c r="BE9" i="1"/>
  <c r="BE10" i="1"/>
  <c r="AD12" i="1"/>
  <c r="AS12" i="1"/>
  <c r="BE12" i="1" l="1"/>
  <c r="BF13" i="1" s="1"/>
  <c r="BE13" i="1"/>
</calcChain>
</file>

<file path=xl/sharedStrings.xml><?xml version="1.0" encoding="utf-8"?>
<sst xmlns="http://schemas.openxmlformats.org/spreadsheetml/2006/main" count="1354" uniqueCount="156">
  <si>
    <t>Deposition in bins</t>
  </si>
  <si>
    <t>8 bin set up(0.1) (?? phi)</t>
  </si>
  <si>
    <r>
      <t>size log</t>
    </r>
    <r>
      <rPr>
        <b/>
        <vertAlign val="subscript"/>
        <sz val="11"/>
        <color rgb="FF000000"/>
        <rFont val="Calibri"/>
        <family val="2"/>
        <scheme val="minor"/>
      </rPr>
      <t>10</t>
    </r>
    <r>
      <rPr>
        <b/>
        <sz val="11"/>
        <color rgb="FF000000"/>
        <rFont val="Calibri"/>
        <family val="2"/>
        <scheme val="minor"/>
      </rPr>
      <t xml:space="preserve"> mu</t>
    </r>
  </si>
  <si>
    <t>size mu</t>
  </si>
  <si>
    <t>bin size</t>
  </si>
  <si>
    <t>12.59 to 15.85</t>
  </si>
  <si>
    <t>15.85 to 19.95</t>
  </si>
  <si>
    <t>19.95 to 25.12</t>
  </si>
  <si>
    <t>10.00 to 12.59</t>
  </si>
  <si>
    <t>bins</t>
  </si>
  <si>
    <t>25.12 to 31.62</t>
  </si>
  <si>
    <t>31.62 to 39.81</t>
  </si>
  <si>
    <t>39.81 to 50.12</t>
  </si>
  <si>
    <t>50.12 to 63.10</t>
  </si>
  <si>
    <t>mid-bin size</t>
  </si>
  <si>
    <t>cm/s</t>
  </si>
  <si>
    <t>ws  m/s</t>
  </si>
  <si>
    <t>conc g/m3</t>
  </si>
  <si>
    <t>tot conc</t>
  </si>
  <si>
    <r>
      <t>R</t>
    </r>
    <r>
      <rPr>
        <vertAlign val="subscript"/>
        <sz val="14"/>
        <color theme="1"/>
        <rFont val="Book Antiqua"/>
        <family val="1"/>
      </rPr>
      <t>i</t>
    </r>
    <r>
      <rPr>
        <sz val="14"/>
        <color theme="1"/>
        <rFont val="Book Antiqua"/>
        <family val="1"/>
      </rPr>
      <t xml:space="preserve"> = C</t>
    </r>
    <r>
      <rPr>
        <vertAlign val="subscript"/>
        <sz val="14"/>
        <color theme="1"/>
        <rFont val="Book Antiqua"/>
        <family val="1"/>
      </rPr>
      <t>i</t>
    </r>
    <r>
      <rPr>
        <sz val="14"/>
        <color theme="1"/>
        <rFont val="Book Antiqua"/>
        <family val="1"/>
      </rPr>
      <t xml:space="preserve"> w</t>
    </r>
    <r>
      <rPr>
        <vertAlign val="subscript"/>
        <sz val="14"/>
        <color theme="1"/>
        <rFont val="Book Antiqua"/>
        <family val="1"/>
      </rPr>
      <t>si</t>
    </r>
    <r>
      <rPr>
        <sz val="14"/>
        <color theme="1"/>
        <rFont val="Book Antiqua"/>
        <family val="1"/>
      </rPr>
      <t xml:space="preserve"> (1-τ</t>
    </r>
    <r>
      <rPr>
        <vertAlign val="subscript"/>
        <sz val="14"/>
        <color theme="1"/>
        <rFont val="Book Antiqua"/>
        <family val="1"/>
      </rPr>
      <t>o</t>
    </r>
    <r>
      <rPr>
        <sz val="14"/>
        <color theme="1"/>
        <rFont val="Book Antiqua"/>
        <family val="1"/>
      </rPr>
      <t>/τ</t>
    </r>
    <r>
      <rPr>
        <vertAlign val="subscript"/>
        <sz val="14"/>
        <color theme="1"/>
        <rFont val="Book Antiqua"/>
        <family val="1"/>
      </rPr>
      <t>di</t>
    </r>
    <r>
      <rPr>
        <sz val="14"/>
        <color theme="1"/>
        <rFont val="Book Antiqua"/>
        <family val="1"/>
      </rPr>
      <t>)    g/m</t>
    </r>
    <r>
      <rPr>
        <vertAlign val="superscript"/>
        <sz val="14"/>
        <color theme="1"/>
        <rFont val="Book Antiqua"/>
        <family val="1"/>
      </rPr>
      <t>2</t>
    </r>
    <r>
      <rPr>
        <sz val="14"/>
        <color theme="1"/>
        <rFont val="Book Antiqua"/>
        <family val="1"/>
      </rPr>
      <t>s</t>
    </r>
  </si>
  <si>
    <r>
      <t>for τ</t>
    </r>
    <r>
      <rPr>
        <vertAlign val="subscript"/>
        <sz val="14"/>
        <color theme="1"/>
        <rFont val="Book Antiqua"/>
        <family val="1"/>
      </rPr>
      <t xml:space="preserve">o &lt; </t>
    </r>
    <r>
      <rPr>
        <sz val="14"/>
        <color theme="1"/>
        <rFont val="Book Antiqua"/>
        <family val="1"/>
      </rPr>
      <t>τ</t>
    </r>
    <r>
      <rPr>
        <vertAlign val="subscript"/>
        <sz val="14"/>
        <color theme="1"/>
        <rFont val="Book Antiqua"/>
        <family val="1"/>
      </rPr>
      <t>di</t>
    </r>
  </si>
  <si>
    <t xml:space="preserve">Krone dep rate eqn  </t>
  </si>
  <si>
    <t xml:space="preserve">speed </t>
  </si>
  <si>
    <r>
      <t>τ</t>
    </r>
    <r>
      <rPr>
        <vertAlign val="subscript"/>
        <sz val="14"/>
        <color theme="1"/>
        <rFont val="Book Antiqua"/>
        <family val="1"/>
      </rPr>
      <t>o</t>
    </r>
  </si>
  <si>
    <r>
      <t>crit dep threshold τ</t>
    </r>
    <r>
      <rPr>
        <vertAlign val="subscript"/>
        <sz val="11"/>
        <color theme="1"/>
        <rFont val="Calibri"/>
        <family val="2"/>
        <scheme val="minor"/>
      </rPr>
      <t>di</t>
    </r>
    <r>
      <rPr>
        <sz val="11"/>
        <color theme="1"/>
        <rFont val="Calibri"/>
        <family val="2"/>
        <scheme val="minor"/>
      </rPr>
      <t xml:space="preserve"> Pa</t>
    </r>
  </si>
  <si>
    <t>dep rate</t>
  </si>
  <si>
    <t>u* = 0.4U/10.3</t>
  </si>
  <si>
    <t>(Ln 30000 = 10.3)</t>
  </si>
  <si>
    <t>speed</t>
  </si>
  <si>
    <r>
      <t>τ</t>
    </r>
    <r>
      <rPr>
        <vertAlign val="subscript"/>
        <sz val="14"/>
        <color rgb="FF000000"/>
        <rFont val="Book Antiqua"/>
        <family val="1"/>
      </rPr>
      <t>o</t>
    </r>
  </si>
  <si>
    <t>u*  cm/s</t>
  </si>
  <si>
    <r>
      <t>U</t>
    </r>
    <r>
      <rPr>
        <vertAlign val="subscript"/>
        <sz val="11"/>
        <color theme="1"/>
        <rFont val="Calibri"/>
        <family val="2"/>
        <scheme val="minor"/>
      </rPr>
      <t>10</t>
    </r>
  </si>
  <si>
    <r>
      <t>U</t>
    </r>
    <r>
      <rPr>
        <vertAlign val="subscript"/>
        <sz val="11"/>
        <color theme="1"/>
        <rFont val="Calibri"/>
        <family val="2"/>
        <scheme val="minor"/>
      </rPr>
      <t>1</t>
    </r>
  </si>
  <si>
    <r>
      <t>crit eros τ</t>
    </r>
    <r>
      <rPr>
        <vertAlign val="subscript"/>
        <sz val="11"/>
        <color theme="1"/>
        <rFont val="Calibri"/>
        <family val="2"/>
        <scheme val="minor"/>
      </rPr>
      <t>ei</t>
    </r>
    <r>
      <rPr>
        <sz val="11"/>
        <color theme="1"/>
        <rFont val="Calibri"/>
        <family val="2"/>
        <scheme val="minor"/>
      </rPr>
      <t xml:space="preserve"> Pa</t>
    </r>
  </si>
  <si>
    <t>CM RECORDS and speed bins</t>
  </si>
  <si>
    <t>ISW-I1</t>
  </si>
  <si>
    <t>&gt;30</t>
  </si>
  <si>
    <t>20-24.99</t>
  </si>
  <si>
    <t>25-29.99</t>
  </si>
  <si>
    <t>15-19.99</t>
  </si>
  <si>
    <t>10-14.99</t>
  </si>
  <si>
    <t>7.5-9.99</t>
  </si>
  <si>
    <t>5-7.49</t>
  </si>
  <si>
    <t>2.5-4.99</t>
  </si>
  <si>
    <t>0-2.49</t>
  </si>
  <si>
    <t>proportion of time</t>
  </si>
  <si>
    <t>ACM 8b #505</t>
  </si>
  <si>
    <t>Van Aken (S)</t>
  </si>
  <si>
    <t>speeds: (&gt;).3, .25, .20, .15, .10 , .075 , .05, .025, 0 m/s</t>
  </si>
  <si>
    <r>
      <t>crit eros τ</t>
    </r>
    <r>
      <rPr>
        <vertAlign val="subscript"/>
        <sz val="11"/>
        <color rgb="FF000000"/>
        <rFont val="Calibri"/>
        <family val="2"/>
        <scheme val="minor"/>
      </rPr>
      <t>ei</t>
    </r>
    <r>
      <rPr>
        <sz val="11"/>
        <color rgb="FF000000"/>
        <rFont val="Calibri"/>
        <family val="2"/>
        <scheme val="minor"/>
      </rPr>
      <t xml:space="preserve"> Pa</t>
    </r>
  </si>
  <si>
    <t>ACM 8b #506</t>
  </si>
  <si>
    <t>line #'s</t>
  </si>
  <si>
    <t>Self et al</t>
  </si>
  <si>
    <r>
      <t>log τ</t>
    </r>
    <r>
      <rPr>
        <vertAlign val="subscript"/>
        <sz val="14"/>
        <color theme="1"/>
        <rFont val="Book Antiqua"/>
        <family val="1"/>
      </rPr>
      <t>e</t>
    </r>
    <r>
      <rPr>
        <sz val="14"/>
        <color theme="1"/>
        <rFont val="Book Antiqua"/>
        <family val="1"/>
      </rPr>
      <t>= 0.544 logd - 1.885</t>
    </r>
  </si>
  <si>
    <r>
      <t>τ</t>
    </r>
    <r>
      <rPr>
        <vertAlign val="subscript"/>
        <sz val="14"/>
        <color theme="1"/>
        <rFont val="Book Antiqua"/>
        <family val="1"/>
      </rPr>
      <t xml:space="preserve">d </t>
    </r>
    <r>
      <rPr>
        <sz val="14"/>
        <color theme="1"/>
        <rFont val="Book Antiqua"/>
        <family val="1"/>
      </rPr>
      <t xml:space="preserve">= 0.065 </t>
    </r>
    <r>
      <rPr>
        <sz val="14"/>
        <color theme="1"/>
        <rFont val="Calibri"/>
        <family val="2"/>
      </rPr>
      <t>Δρ</t>
    </r>
    <r>
      <rPr>
        <sz val="14"/>
        <color theme="1"/>
        <rFont val="Book Antiqua"/>
        <family val="1"/>
      </rPr>
      <t>.g.d</t>
    </r>
  </si>
  <si>
    <r>
      <t>crit eros log.τ</t>
    </r>
    <r>
      <rPr>
        <vertAlign val="subscript"/>
        <sz val="11"/>
        <color theme="1"/>
        <rFont val="Calibri"/>
        <family val="2"/>
        <scheme val="minor"/>
      </rPr>
      <t>ei</t>
    </r>
    <r>
      <rPr>
        <sz val="11"/>
        <color theme="1"/>
        <rFont val="Calibri"/>
        <family val="2"/>
        <scheme val="minor"/>
      </rPr>
      <t xml:space="preserve"> </t>
    </r>
  </si>
  <si>
    <t>White/ Mantz</t>
  </si>
  <si>
    <t>tau ex drag coefft</t>
  </si>
  <si>
    <t>tau ex k-p</t>
  </si>
  <si>
    <t>U</t>
  </si>
  <si>
    <t>d1</t>
  </si>
  <si>
    <t>d2</t>
  </si>
  <si>
    <t>d3</t>
  </si>
  <si>
    <t>etc</t>
  </si>
  <si>
    <t>u1xt1</t>
  </si>
  <si>
    <t>u2xt2</t>
  </si>
  <si>
    <t>u3xt3</t>
  </si>
  <si>
    <t>dep(d1,u1.t1)</t>
  </si>
  <si>
    <t>dep(d2,u1.t1)</t>
  </si>
  <si>
    <t>dep(d3,u1.t1)</t>
  </si>
  <si>
    <t>dep(d1,u3.t3)</t>
  </si>
  <si>
    <t>dep(d2,u3.t3)</t>
  </si>
  <si>
    <t>dep(d3,u3.t3)</t>
  </si>
  <si>
    <t>sum depd1</t>
  </si>
  <si>
    <t>sum depd2</t>
  </si>
  <si>
    <t>sum depd3</t>
  </si>
  <si>
    <t>F18xd1</t>
  </si>
  <si>
    <t>F18xd2</t>
  </si>
  <si>
    <t>F18xd3</t>
  </si>
  <si>
    <t>tot dep</t>
  </si>
  <si>
    <t>tot depxdi</t>
  </si>
  <si>
    <t>dbar =g23/f22</t>
  </si>
  <si>
    <t>Scheme</t>
  </si>
  <si>
    <t>t=% of time from CM record for u1, u2 etc</t>
  </si>
  <si>
    <t>#505</t>
  </si>
  <si>
    <t>vAken(S)</t>
  </si>
  <si>
    <t>dep x t</t>
  </si>
  <si>
    <t>d mid bin</t>
  </si>
  <si>
    <t>dep.t.d</t>
  </si>
  <si>
    <t>sum dep.d</t>
  </si>
  <si>
    <t>sum dep</t>
  </si>
  <si>
    <t>mu</t>
  </si>
  <si>
    <t>percentage</t>
  </si>
  <si>
    <t>.</t>
  </si>
  <si>
    <t>mean susp size</t>
  </si>
  <si>
    <t>8 bin set up(0.1) (~0.333 phi)</t>
  </si>
  <si>
    <t>conc (V=ad^-2.5)</t>
  </si>
  <si>
    <r>
      <t>crit dep  τ</t>
    </r>
    <r>
      <rPr>
        <vertAlign val="subscript"/>
        <sz val="11"/>
        <color theme="1"/>
        <rFont val="Calibri"/>
        <family val="2"/>
        <scheme val="minor"/>
      </rPr>
      <t>di</t>
    </r>
    <r>
      <rPr>
        <sz val="11"/>
        <color theme="1"/>
        <rFont val="Calibri"/>
        <family val="2"/>
        <scheme val="minor"/>
      </rPr>
      <t xml:space="preserve"> Pa</t>
    </r>
  </si>
  <si>
    <r>
      <t>size log</t>
    </r>
    <r>
      <rPr>
        <vertAlign val="subscript"/>
        <sz val="11"/>
        <color rgb="FF000000"/>
        <rFont val="Calibri"/>
        <family val="2"/>
        <scheme val="minor"/>
      </rPr>
      <t>10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μ</t>
    </r>
    <r>
      <rPr>
        <sz val="11"/>
        <color rgb="FF000000"/>
        <rFont val="Calibri"/>
        <family val="2"/>
        <scheme val="minor"/>
      </rPr>
      <t>m</t>
    </r>
  </si>
  <si>
    <t>dep*t*d</t>
  </si>
  <si>
    <t>505 (C=^-2.5)</t>
  </si>
  <si>
    <t>Site</t>
  </si>
  <si>
    <r>
      <t xml:space="preserve">d; </t>
    </r>
    <r>
      <rPr>
        <b/>
        <sz val="14"/>
        <color theme="1"/>
        <rFont val="Calibri"/>
        <family val="2"/>
      </rPr>
      <t>τ</t>
    </r>
    <r>
      <rPr>
        <b/>
        <vertAlign val="subscript"/>
        <sz val="14"/>
        <color theme="1"/>
        <rFont val="Calibri"/>
        <family val="2"/>
        <scheme val="minor"/>
      </rPr>
      <t>eros</t>
    </r>
  </si>
  <si>
    <r>
      <t xml:space="preserve">d; </t>
    </r>
    <r>
      <rPr>
        <b/>
        <sz val="14"/>
        <color theme="1"/>
        <rFont val="Calibri"/>
        <family val="2"/>
      </rPr>
      <t>τ</t>
    </r>
    <r>
      <rPr>
        <b/>
        <vertAlign val="subscript"/>
        <sz val="14"/>
        <color theme="1"/>
        <rFont val="Calibri"/>
        <family val="2"/>
      </rPr>
      <t>dep</t>
    </r>
  </si>
  <si>
    <t>VAken(S) (0.1)</t>
  </si>
  <si>
    <t>VAken(S) (^-2.5)</t>
  </si>
  <si>
    <t>505 (C=const 0.1)</t>
  </si>
  <si>
    <t>Speed cm/s</t>
  </si>
  <si>
    <t>sum dep*d</t>
  </si>
  <si>
    <t>time t</t>
  </si>
  <si>
    <t>a' is 421.7</t>
  </si>
  <si>
    <t>%</t>
  </si>
  <si>
    <t>% time in spd bins</t>
  </si>
  <si>
    <t>above is 'a'</t>
  </si>
  <si>
    <t>506 (C=^-2.5)</t>
  </si>
  <si>
    <t>ISW II  (C=^-2.5)</t>
  </si>
  <si>
    <t>&lt;2.5</t>
  </si>
  <si>
    <t>C=a*d^-b</t>
  </si>
  <si>
    <t>for b=2.5</t>
  </si>
  <si>
    <t>for b=3</t>
  </si>
  <si>
    <t>2.5-5</t>
  </si>
  <si>
    <t>5-7.5</t>
  </si>
  <si>
    <t>7.5-10</t>
  </si>
  <si>
    <t>15-20</t>
  </si>
  <si>
    <t>='a' for expt b= -2.5</t>
  </si>
  <si>
    <t>='a' for expt b= -3</t>
  </si>
  <si>
    <t>10-15</t>
  </si>
  <si>
    <t>20-25</t>
  </si>
  <si>
    <t>25-30</t>
  </si>
  <si>
    <t>='a' for expt b= -2</t>
  </si>
  <si>
    <t>mid bin size</t>
  </si>
  <si>
    <t>for b=2</t>
  </si>
  <si>
    <t>8 bin set up (0.1) (~0.333 phi)</t>
  </si>
  <si>
    <r>
      <t>size log</t>
    </r>
    <r>
      <rPr>
        <b/>
        <vertAlign val="subscript"/>
        <sz val="11"/>
        <color rgb="FF000000"/>
        <rFont val="Calibri"/>
        <family val="2"/>
        <scheme val="minor"/>
      </rPr>
      <t>10</t>
    </r>
    <r>
      <rPr>
        <b/>
        <sz val="11"/>
        <color rgb="FF000000"/>
        <rFont val="Calibri"/>
        <family val="2"/>
        <scheme val="minor"/>
      </rPr>
      <t xml:space="preserve"> μm</t>
    </r>
  </si>
  <si>
    <t>size μm</t>
  </si>
  <si>
    <t>mid-bin size μm</t>
  </si>
  <si>
    <t>Coarse truncated</t>
  </si>
  <si>
    <t xml:space="preserve">truncated </t>
  </si>
  <si>
    <t>for no 40-63μm</t>
  </si>
  <si>
    <r>
      <t>w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cm/s</t>
    </r>
  </si>
  <si>
    <r>
      <t>w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 m/s</t>
    </r>
  </si>
  <si>
    <r>
      <t>Drag coefficients from Bird et al.:  U</t>
    </r>
    <r>
      <rPr>
        <b/>
        <vertAlign val="subscript"/>
        <sz val="12"/>
        <color rgb="FF000000"/>
        <rFont val="Book Antiqua"/>
        <family val="1"/>
      </rPr>
      <t>g</t>
    </r>
    <r>
      <rPr>
        <b/>
        <sz val="12"/>
        <color rgb="FF000000"/>
        <rFont val="Book Antiqua"/>
        <family val="1"/>
      </rPr>
      <t>/u</t>
    </r>
    <r>
      <rPr>
        <b/>
        <vertAlign val="subscript"/>
        <sz val="12"/>
        <color rgb="FF000000"/>
        <rFont val="Book Antiqua"/>
        <family val="1"/>
      </rPr>
      <t>*</t>
    </r>
    <r>
      <rPr>
        <b/>
        <sz val="12"/>
        <color rgb="FF000000"/>
        <rFont val="Book Antiqua"/>
        <family val="1"/>
      </rPr>
      <t xml:space="preserve">  = 27;   C</t>
    </r>
    <r>
      <rPr>
        <b/>
        <vertAlign val="subscript"/>
        <sz val="12"/>
        <color rgb="FF000000"/>
        <rFont val="Book Antiqua"/>
        <family val="1"/>
      </rPr>
      <t>d</t>
    </r>
    <r>
      <rPr>
        <b/>
        <sz val="12"/>
        <color rgb="FF000000"/>
        <rFont val="Book Antiqua"/>
        <family val="1"/>
      </rPr>
      <t xml:space="preserve"> =  (u</t>
    </r>
    <r>
      <rPr>
        <b/>
        <vertAlign val="subscript"/>
        <sz val="12"/>
        <color rgb="FF000000"/>
        <rFont val="Book Antiqua"/>
        <family val="1"/>
      </rPr>
      <t>*</t>
    </r>
    <r>
      <rPr>
        <b/>
        <sz val="12"/>
        <color rgb="FF000000"/>
        <rFont val="Book Antiqua"/>
        <family val="1"/>
      </rPr>
      <t xml:space="preserve"> /U</t>
    </r>
    <r>
      <rPr>
        <b/>
        <vertAlign val="subscript"/>
        <sz val="12"/>
        <color rgb="FF000000"/>
        <rFont val="Book Antiqua"/>
        <family val="1"/>
      </rPr>
      <t>g</t>
    </r>
    <r>
      <rPr>
        <b/>
        <sz val="12"/>
        <color rgb="FF000000"/>
        <rFont val="Book Antiqua"/>
        <family val="1"/>
      </rPr>
      <t>)</t>
    </r>
    <r>
      <rPr>
        <b/>
        <vertAlign val="superscript"/>
        <sz val="12"/>
        <color rgb="FF000000"/>
        <rFont val="Book Antiqua"/>
        <family val="1"/>
      </rPr>
      <t>2</t>
    </r>
    <r>
      <rPr>
        <b/>
        <sz val="12"/>
        <color rgb="FF000000"/>
        <rFont val="Book Antiqua"/>
        <family val="1"/>
      </rPr>
      <t xml:space="preserve"> = 0.0014</t>
    </r>
  </si>
  <si>
    <r>
      <t>u</t>
    </r>
    <r>
      <rPr>
        <vertAlign val="subscript"/>
        <sz val="11"/>
        <color theme="1"/>
        <rFont val="Calibri"/>
        <family val="2"/>
        <scheme val="minor"/>
      </rPr>
      <t>*</t>
    </r>
  </si>
  <si>
    <r>
      <t>U</t>
    </r>
    <r>
      <rPr>
        <vertAlign val="subscript"/>
        <sz val="11"/>
        <color theme="1"/>
        <rFont val="Calibri"/>
        <family val="2"/>
        <scheme val="minor"/>
      </rPr>
      <t>g</t>
    </r>
  </si>
  <si>
    <t xml:space="preserve">White/Mantz data, (in Self et al.)  crit eros eqn </t>
  </si>
  <si>
    <t xml:space="preserve">Self et al. (1989, Mar. Geol) , crit dep eqn </t>
  </si>
  <si>
    <t>b = 2.5</t>
  </si>
  <si>
    <t>ws  cm/s</t>
  </si>
  <si>
    <t>d^-2.5</t>
  </si>
  <si>
    <t>ex (Ug/u*)=27</t>
  </si>
  <si>
    <t>time</t>
  </si>
  <si>
    <t>sum dep*t*d</t>
  </si>
  <si>
    <r>
      <t>crit eros threshold τ</t>
    </r>
    <r>
      <rPr>
        <vertAlign val="subscript"/>
        <sz val="11"/>
        <color rgb="FF000000"/>
        <rFont val="Calibri"/>
        <family val="2"/>
        <scheme val="minor"/>
      </rPr>
      <t>ei</t>
    </r>
    <r>
      <rPr>
        <sz val="11"/>
        <color rgb="FF000000"/>
        <rFont val="Calibri"/>
        <family val="2"/>
        <scheme val="minor"/>
      </rPr>
      <t xml:space="preserve"> Pa</t>
    </r>
  </si>
  <si>
    <t>speed  Ug</t>
  </si>
  <si>
    <t>mean deposit size</t>
  </si>
  <si>
    <t>Size distributions for b = 2.5 in V = a d^-b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</si>
</sst>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3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bscript"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Book Antiqua"/>
      <family val="1"/>
    </font>
    <font>
      <vertAlign val="subscript"/>
      <sz val="14"/>
      <color theme="1"/>
      <name val="Book Antiqua"/>
      <family val="1"/>
    </font>
    <font>
      <vertAlign val="superscript"/>
      <sz val="14"/>
      <color theme="1"/>
      <name val="Book Antiqua"/>
      <family val="1"/>
    </font>
    <font>
      <b/>
      <sz val="14"/>
      <color theme="1"/>
      <name val="Book Antiqua"/>
      <family val="1"/>
    </font>
    <font>
      <vertAlign val="subscript"/>
      <sz val="11"/>
      <color theme="1"/>
      <name val="Calibri"/>
      <family val="2"/>
      <scheme val="minor"/>
    </font>
    <font>
      <sz val="14"/>
      <color rgb="FF000000"/>
      <name val="Book Antiqua"/>
      <family val="1"/>
    </font>
    <font>
      <vertAlign val="subscript"/>
      <sz val="14"/>
      <color rgb="FF000000"/>
      <name val="Book Antiqua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</font>
    <font>
      <b/>
      <vertAlign val="subscript"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12"/>
      <color rgb="FF000000"/>
      <name val="Book Antiqua"/>
      <family val="1"/>
    </font>
    <font>
      <b/>
      <vertAlign val="subscript"/>
      <sz val="12"/>
      <color rgb="FF000000"/>
      <name val="Book Antiqua"/>
      <family val="1"/>
    </font>
    <font>
      <b/>
      <vertAlign val="superscript"/>
      <sz val="12"/>
      <color rgb="FF000000"/>
      <name val="Book Antiqua"/>
      <family val="1"/>
    </font>
    <font>
      <b/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9933"/>
        <bgColor rgb="FF000000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0" borderId="0" xfId="0" applyFont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/>
    <xf numFmtId="164" fontId="3" fillId="0" borderId="0" xfId="0" applyNumberFormat="1" applyFont="1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wrapText="1"/>
    </xf>
    <xf numFmtId="0" fontId="1" fillId="0" borderId="0" xfId="0" applyFont="1" applyFill="1" applyAlignment="1">
      <alignment horizontal="center" wrapText="1"/>
    </xf>
    <xf numFmtId="11" fontId="0" fillId="0" borderId="0" xfId="0" applyNumberFormat="1"/>
    <xf numFmtId="0" fontId="0" fillId="2" borderId="0" xfId="0" applyFill="1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2" borderId="0" xfId="0" applyFill="1" applyAlignment="1">
      <alignment wrapText="1"/>
    </xf>
    <xf numFmtId="164" fontId="3" fillId="0" borderId="0" xfId="0" applyNumberFormat="1" applyFont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3" fillId="0" borderId="0" xfId="0" applyFont="1"/>
    <xf numFmtId="0" fontId="12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  <xf numFmtId="2" fontId="3" fillId="0" borderId="0" xfId="0" applyNumberFormat="1" applyFont="1" applyFill="1"/>
    <xf numFmtId="0" fontId="15" fillId="0" borderId="0" xfId="0" applyFont="1"/>
    <xf numFmtId="0" fontId="16" fillId="0" borderId="0" xfId="0" applyFont="1"/>
    <xf numFmtId="164" fontId="0" fillId="2" borderId="0" xfId="0" applyNumberFormat="1" applyFill="1"/>
    <xf numFmtId="0" fontId="1" fillId="0" borderId="0" xfId="0" applyFont="1" applyFill="1" applyAlignment="1">
      <alignment horizontal="center"/>
    </xf>
    <xf numFmtId="0" fontId="5" fillId="0" borderId="0" xfId="0" applyFont="1"/>
    <xf numFmtId="0" fontId="8" fillId="0" borderId="0" xfId="0" applyFont="1"/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Fill="1"/>
    <xf numFmtId="0" fontId="0" fillId="3" borderId="0" xfId="0" applyFill="1"/>
    <xf numFmtId="0" fontId="0" fillId="4" borderId="0" xfId="0" applyFill="1" applyAlignment="1">
      <alignment horizontal="center"/>
    </xf>
    <xf numFmtId="0" fontId="0" fillId="4" borderId="0" xfId="0" applyFill="1"/>
    <xf numFmtId="0" fontId="1" fillId="0" borderId="0" xfId="0" applyFont="1" applyAlignment="1">
      <alignment horizontal="center"/>
    </xf>
    <xf numFmtId="164" fontId="3" fillId="5" borderId="0" xfId="0" applyNumberFormat="1" applyFont="1" applyFill="1"/>
    <xf numFmtId="0" fontId="0" fillId="6" borderId="0" xfId="0" applyFill="1" applyAlignment="1">
      <alignment horizontal="center" wrapText="1"/>
    </xf>
    <xf numFmtId="164" fontId="0" fillId="6" borderId="0" xfId="0" applyNumberFormat="1" applyFill="1"/>
    <xf numFmtId="0" fontId="0" fillId="6" borderId="0" xfId="0" applyFill="1"/>
    <xf numFmtId="2" fontId="3" fillId="0" borderId="0" xfId="0" applyNumberFormat="1" applyFont="1"/>
    <xf numFmtId="0" fontId="0" fillId="6" borderId="0" xfId="0" applyFill="1" applyAlignment="1">
      <alignment wrapText="1"/>
    </xf>
    <xf numFmtId="0" fontId="3" fillId="6" borderId="0" xfId="0" applyFont="1" applyFill="1" applyAlignment="1">
      <alignment horizontal="center" wrapText="1"/>
    </xf>
    <xf numFmtId="164" fontId="3" fillId="6" borderId="0" xfId="0" applyNumberFormat="1" applyFont="1" applyFill="1"/>
    <xf numFmtId="164" fontId="0" fillId="0" borderId="0" xfId="0" applyNumberFormat="1" applyFill="1"/>
    <xf numFmtId="0" fontId="0" fillId="7" borderId="0" xfId="0" applyFill="1"/>
    <xf numFmtId="0" fontId="0" fillId="8" borderId="0" xfId="0" applyFill="1"/>
    <xf numFmtId="2" fontId="0" fillId="8" borderId="0" xfId="0" applyNumberFormat="1" applyFill="1"/>
    <xf numFmtId="0" fontId="0" fillId="9" borderId="0" xfId="0" applyFill="1"/>
    <xf numFmtId="2" fontId="0" fillId="9" borderId="0" xfId="0" applyNumberFormat="1" applyFill="1"/>
    <xf numFmtId="2" fontId="0" fillId="3" borderId="0" xfId="0" applyNumberFormat="1" applyFill="1"/>
    <xf numFmtId="0" fontId="1" fillId="0" borderId="0" xfId="0" applyFont="1" applyFill="1" applyAlignment="1">
      <alignment horizontal="center"/>
    </xf>
    <xf numFmtId="166" fontId="0" fillId="0" borderId="0" xfId="0" applyNumberFormat="1" applyFill="1"/>
    <xf numFmtId="0" fontId="1" fillId="0" borderId="0" xfId="0" applyFont="1" applyFill="1" applyAlignment="1">
      <alignment horizontal="left"/>
    </xf>
    <xf numFmtId="0" fontId="3" fillId="5" borderId="0" xfId="0" applyFont="1" applyFill="1"/>
    <xf numFmtId="0" fontId="0" fillId="3" borderId="0" xfId="0" applyFill="1" applyAlignment="1">
      <alignment horizontal="center" wrapText="1"/>
    </xf>
    <xf numFmtId="164" fontId="0" fillId="3" borderId="0" xfId="0" applyNumberFormat="1" applyFill="1"/>
    <xf numFmtId="0" fontId="3" fillId="0" borderId="0" xfId="0" applyFont="1" applyFill="1" applyAlignment="1">
      <alignment horizontal="center" wrapText="1"/>
    </xf>
    <xf numFmtId="2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2" fontId="3" fillId="10" borderId="0" xfId="0" applyNumberFormat="1" applyFont="1" applyFill="1"/>
    <xf numFmtId="0" fontId="13" fillId="0" borderId="0" xfId="0" applyFont="1" applyAlignment="1">
      <alignment horizontal="center"/>
    </xf>
    <xf numFmtId="2" fontId="3" fillId="11" borderId="0" xfId="0" applyNumberFormat="1" applyFont="1" applyFill="1"/>
    <xf numFmtId="2" fontId="3" fillId="12" borderId="0" xfId="0" applyNumberFormat="1" applyFont="1" applyFill="1"/>
    <xf numFmtId="0" fontId="3" fillId="12" borderId="0" xfId="0" applyFont="1" applyFill="1"/>
    <xf numFmtId="0" fontId="22" fillId="0" borderId="0" xfId="0" applyFont="1"/>
    <xf numFmtId="0" fontId="0" fillId="3" borderId="0" xfId="0" applyFill="1" applyAlignment="1">
      <alignment wrapText="1"/>
    </xf>
    <xf numFmtId="166" fontId="3" fillId="0" borderId="0" xfId="0" applyNumberFormat="1" applyFont="1"/>
    <xf numFmtId="166" fontId="3" fillId="0" borderId="0" xfId="0" quotePrefix="1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/>
    </xf>
    <xf numFmtId="166" fontId="0" fillId="2" borderId="0" xfId="0" applyNumberFormat="1" applyFill="1"/>
    <xf numFmtId="11" fontId="0" fillId="9" borderId="0" xfId="0" applyNumberFormat="1" applyFill="1"/>
    <xf numFmtId="0" fontId="13" fillId="2" borderId="0" xfId="0" applyFont="1" applyFill="1" applyAlignment="1">
      <alignment horizontal="center"/>
    </xf>
    <xf numFmtId="2" fontId="3" fillId="5" borderId="0" xfId="0" applyNumberFormat="1" applyFont="1" applyFill="1"/>
    <xf numFmtId="166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0" fillId="14" borderId="0" xfId="0" applyFill="1"/>
    <xf numFmtId="11" fontId="0" fillId="0" borderId="0" xfId="0" applyNumberFormat="1" applyFill="1"/>
    <xf numFmtId="0" fontId="1" fillId="0" borderId="0" xfId="0" applyFont="1" applyFill="1" applyAlignment="1">
      <alignment horizontal="center"/>
    </xf>
    <xf numFmtId="1" fontId="0" fillId="0" borderId="0" xfId="0" applyNumberFormat="1"/>
    <xf numFmtId="0" fontId="0" fillId="0" borderId="0" xfId="0" quotePrefix="1"/>
    <xf numFmtId="2" fontId="0" fillId="0" borderId="0" xfId="0" applyNumberFormat="1" applyFill="1"/>
    <xf numFmtId="11" fontId="0" fillId="6" borderId="0" xfId="0" applyNumberFormat="1" applyFill="1"/>
    <xf numFmtId="0" fontId="0" fillId="0" borderId="0" xfId="0" quotePrefix="1" applyFill="1"/>
    <xf numFmtId="17" fontId="0" fillId="0" borderId="0" xfId="0" quotePrefix="1" applyNumberFormat="1" applyFill="1"/>
    <xf numFmtId="0" fontId="3" fillId="0" borderId="0" xfId="0" quotePrefix="1" applyFont="1"/>
    <xf numFmtId="0" fontId="0" fillId="2" borderId="0" xfId="0" applyFill="1" applyAlignment="1">
      <alignment horizontal="center"/>
    </xf>
    <xf numFmtId="0" fontId="12" fillId="15" borderId="0" xfId="0" applyFont="1" applyFill="1" applyAlignment="1">
      <alignment horizontal="center"/>
    </xf>
    <xf numFmtId="0" fontId="1" fillId="16" borderId="0" xfId="0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0" fillId="17" borderId="0" xfId="0" applyFill="1" applyAlignment="1">
      <alignment horizontal="center"/>
    </xf>
    <xf numFmtId="0" fontId="0" fillId="17" borderId="0" xfId="0" applyFill="1"/>
    <xf numFmtId="0" fontId="3" fillId="17" borderId="0" xfId="0" applyFont="1" applyFill="1"/>
    <xf numFmtId="0" fontId="0" fillId="14" borderId="0" xfId="0" applyFill="1" applyAlignment="1">
      <alignment horizontal="left"/>
    </xf>
    <xf numFmtId="0" fontId="13" fillId="14" borderId="0" xfId="0" applyFont="1" applyFill="1"/>
    <xf numFmtId="2" fontId="0" fillId="14" borderId="0" xfId="0" applyNumberForma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4" fillId="0" borderId="0" xfId="0" applyFont="1" applyFill="1"/>
    <xf numFmtId="0" fontId="1" fillId="0" borderId="0" xfId="0" applyFont="1" applyFill="1" applyAlignment="1">
      <alignment horizontal="right" wrapText="1"/>
    </xf>
    <xf numFmtId="0" fontId="27" fillId="2" borderId="0" xfId="0" applyFont="1" applyFill="1"/>
    <xf numFmtId="0" fontId="0" fillId="13" borderId="0" xfId="0" applyFill="1"/>
    <xf numFmtId="0" fontId="28" fillId="0" borderId="0" xfId="0" applyFont="1" applyAlignment="1">
      <alignment horizontal="right"/>
    </xf>
    <xf numFmtId="2" fontId="0" fillId="6" borderId="0" xfId="0" applyNumberFormat="1" applyFill="1"/>
    <xf numFmtId="0" fontId="29" fillId="0" borderId="0" xfId="0" applyFont="1" applyAlignment="1">
      <alignment horizontal="right"/>
    </xf>
    <xf numFmtId="164" fontId="0" fillId="13" borderId="0" xfId="0" applyNumberFormat="1" applyFill="1"/>
    <xf numFmtId="2" fontId="0" fillId="2" borderId="0" xfId="0" applyNumberFormat="1" applyFill="1"/>
    <xf numFmtId="0" fontId="3" fillId="14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166" fontId="0" fillId="0" borderId="0" xfId="0" applyNumberFormat="1" applyFill="1" applyAlignment="1">
      <alignment wrapText="1"/>
    </xf>
    <xf numFmtId="0" fontId="0" fillId="0" borderId="0" xfId="0" applyFill="1" applyAlignment="1">
      <alignment horizontal="right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L18" sqref="L18"/>
    </sheetView>
  </sheetViews>
  <sheetFormatPr defaultRowHeight="15" x14ac:dyDescent="0.25"/>
  <cols>
    <col min="1" max="1" width="16.140625" customWidth="1"/>
    <col min="2" max="2" width="17" customWidth="1"/>
    <col min="3" max="3" width="9.5703125" customWidth="1"/>
    <col min="5" max="5" width="11" customWidth="1"/>
    <col min="6" max="6" width="14.5703125" customWidth="1"/>
    <col min="7" max="7" width="12.5703125" customWidth="1"/>
    <col min="8" max="8" width="14.7109375" customWidth="1"/>
  </cols>
  <sheetData>
    <row r="1" spans="1:10" ht="20.25" x14ac:dyDescent="0.35">
      <c r="A1" s="22" t="s">
        <v>101</v>
      </c>
      <c r="B1" s="22" t="s">
        <v>107</v>
      </c>
      <c r="C1" s="70" t="s">
        <v>102</v>
      </c>
      <c r="D1" s="83" t="s">
        <v>103</v>
      </c>
      <c r="E1" s="100" t="s">
        <v>103</v>
      </c>
      <c r="F1" s="22" t="s">
        <v>101</v>
      </c>
      <c r="G1" s="105" t="s">
        <v>137</v>
      </c>
      <c r="H1" s="22" t="s">
        <v>107</v>
      </c>
      <c r="I1" s="70" t="s">
        <v>102</v>
      </c>
      <c r="J1" s="70" t="s">
        <v>103</v>
      </c>
    </row>
    <row r="2" spans="1:10" x14ac:dyDescent="0.25">
      <c r="A2" t="s">
        <v>100</v>
      </c>
      <c r="B2" s="86">
        <v>19.3</v>
      </c>
      <c r="C2" s="69">
        <v>27.96</v>
      </c>
      <c r="D2" s="61">
        <v>35.215000000000003</v>
      </c>
      <c r="E2" s="102">
        <v>31.8</v>
      </c>
      <c r="F2" t="s">
        <v>106</v>
      </c>
      <c r="G2" s="106">
        <v>25.071000000000002</v>
      </c>
      <c r="H2" s="74">
        <v>19.3</v>
      </c>
      <c r="I2" s="72">
        <v>44.29</v>
      </c>
      <c r="J2" s="73">
        <v>47.18</v>
      </c>
    </row>
    <row r="3" spans="1:10" x14ac:dyDescent="0.25">
      <c r="A3" t="s">
        <v>114</v>
      </c>
      <c r="B3" s="85">
        <v>14.1</v>
      </c>
      <c r="D3" s="11">
        <v>33.200000000000003</v>
      </c>
      <c r="E3" s="102">
        <v>29.7</v>
      </c>
      <c r="G3" s="106">
        <v>24.109000000000002</v>
      </c>
    </row>
    <row r="4" spans="1:10" x14ac:dyDescent="0.25">
      <c r="A4" t="s">
        <v>115</v>
      </c>
      <c r="B4" s="85">
        <v>11.1</v>
      </c>
      <c r="D4" s="84">
        <v>30.54</v>
      </c>
      <c r="E4" s="102">
        <v>28.1</v>
      </c>
      <c r="G4" s="106">
        <v>22.22</v>
      </c>
    </row>
    <row r="5" spans="1:10" x14ac:dyDescent="0.25">
      <c r="A5" t="s">
        <v>115</v>
      </c>
      <c r="B5" s="85">
        <v>10.6</v>
      </c>
      <c r="D5" s="84">
        <v>30.54</v>
      </c>
      <c r="E5" s="102">
        <v>28.1</v>
      </c>
      <c r="G5" s="106">
        <v>21.425000000000001</v>
      </c>
    </row>
    <row r="6" spans="1:10" x14ac:dyDescent="0.25">
      <c r="A6" t="s">
        <v>105</v>
      </c>
      <c r="B6" s="86">
        <v>5.6</v>
      </c>
      <c r="C6" s="71">
        <v>26.25</v>
      </c>
      <c r="D6" s="84">
        <v>28.39</v>
      </c>
      <c r="E6" s="55">
        <v>31.4</v>
      </c>
      <c r="F6" t="s">
        <v>104</v>
      </c>
      <c r="H6" s="74">
        <v>5.6</v>
      </c>
      <c r="I6" s="72">
        <v>43.22</v>
      </c>
      <c r="J6" s="72">
        <v>44.49</v>
      </c>
    </row>
    <row r="7" spans="1:10" x14ac:dyDescent="0.25">
      <c r="D7" s="11"/>
    </row>
    <row r="8" spans="1:10" x14ac:dyDescent="0.25">
      <c r="C8" s="6" t="s">
        <v>131</v>
      </c>
      <c r="D8" s="97" t="s">
        <v>118</v>
      </c>
      <c r="E8" s="101" t="s">
        <v>119</v>
      </c>
      <c r="F8" s="6" t="s">
        <v>130</v>
      </c>
      <c r="G8" s="104" t="s">
        <v>138</v>
      </c>
    </row>
    <row r="9" spans="1:10" x14ac:dyDescent="0.25">
      <c r="A9">
        <f>1/F9^-2</f>
        <v>125.88840000000002</v>
      </c>
      <c r="B9" s="91" t="s">
        <v>129</v>
      </c>
      <c r="C9">
        <f>$A$9*F9^-2</f>
        <v>1</v>
      </c>
      <c r="D9" s="61">
        <v>1</v>
      </c>
      <c r="E9" s="103">
        <v>1</v>
      </c>
      <c r="F9" s="47">
        <v>11.22</v>
      </c>
      <c r="G9" s="47"/>
    </row>
    <row r="10" spans="1:10" x14ac:dyDescent="0.25">
      <c r="A10" s="90">
        <f>1/11.22^-2.5</f>
        <v>421.67916410010508</v>
      </c>
      <c r="B10" s="91" t="s">
        <v>124</v>
      </c>
      <c r="C10" s="7">
        <f t="shared" ref="C10:C16" si="0">$A$9*F10^-2</f>
        <v>0.63052366334446741</v>
      </c>
      <c r="D10" s="7">
        <f>$A$10*F10^-2.5</f>
        <v>0.56185821830944971</v>
      </c>
      <c r="E10" s="18">
        <f>$A$11*F10^-3</f>
        <v>0.50067059467267683</v>
      </c>
      <c r="F10" s="47">
        <v>14.13</v>
      </c>
      <c r="G10" s="47"/>
    </row>
    <row r="11" spans="1:10" x14ac:dyDescent="0.25">
      <c r="A11" s="90">
        <f>1/11.22^-3</f>
        <v>1412.4678480000002</v>
      </c>
      <c r="B11" s="91" t="s">
        <v>125</v>
      </c>
      <c r="C11" s="7">
        <f t="shared" si="0"/>
        <v>0.39821920460167448</v>
      </c>
      <c r="D11" s="7">
        <f t="shared" ref="D11:D16" si="1">$A$10*F11^-2.5</f>
        <v>0.31633900968930206</v>
      </c>
      <c r="E11" s="18">
        <f t="shared" ref="E11:E16" si="2">$A$11*F11^-3</f>
        <v>0.25129468366877322</v>
      </c>
      <c r="F11" s="47">
        <v>17.78</v>
      </c>
      <c r="G11" s="47"/>
    </row>
    <row r="12" spans="1:10" x14ac:dyDescent="0.25">
      <c r="C12" s="7">
        <f t="shared" si="0"/>
        <v>0.25111781662561106</v>
      </c>
      <c r="D12" s="7">
        <f t="shared" si="1"/>
        <v>0.17776526653807806</v>
      </c>
      <c r="E12" s="18">
        <f t="shared" si="2"/>
        <v>0.12583929890751927</v>
      </c>
      <c r="F12" s="47">
        <v>22.39</v>
      </c>
      <c r="G12" s="47"/>
    </row>
    <row r="13" spans="1:10" x14ac:dyDescent="0.25">
      <c r="A13" s="91" t="s">
        <v>117</v>
      </c>
      <c r="C13" s="7">
        <f t="shared" si="0"/>
        <v>0.15852718078700198</v>
      </c>
      <c r="D13" s="7">
        <f t="shared" si="1"/>
        <v>0.1000298621632652</v>
      </c>
      <c r="E13" s="18">
        <f t="shared" si="2"/>
        <v>6.3118345224633152E-2</v>
      </c>
      <c r="F13" s="47">
        <v>28.18</v>
      </c>
      <c r="G13" s="47"/>
    </row>
    <row r="14" spans="1:10" x14ac:dyDescent="0.25">
      <c r="C14" s="7">
        <f t="shared" si="0"/>
        <v>0.10000425792068576</v>
      </c>
      <c r="D14" s="7">
        <f t="shared" si="1"/>
        <v>5.6237125540915985E-2</v>
      </c>
      <c r="E14" s="18">
        <f t="shared" si="2"/>
        <v>3.162479633230255E-2</v>
      </c>
      <c r="F14" s="47">
        <v>35.479999999999997</v>
      </c>
      <c r="G14" s="47"/>
    </row>
    <row r="15" spans="1:10" x14ac:dyDescent="0.25">
      <c r="C15" s="7">
        <f t="shared" si="0"/>
        <v>6.3089024009064007E-2</v>
      </c>
      <c r="D15" s="7">
        <f t="shared" si="1"/>
        <v>3.1618572674653171E-2</v>
      </c>
      <c r="E15" s="18">
        <f t="shared" si="2"/>
        <v>1.5846403612753485E-2</v>
      </c>
      <c r="F15" s="47">
        <v>44.67</v>
      </c>
      <c r="G15" s="47"/>
    </row>
    <row r="16" spans="1:10" x14ac:dyDescent="0.25">
      <c r="C16" s="7">
        <f t="shared" si="0"/>
        <v>3.9815259150849824E-2</v>
      </c>
      <c r="D16" s="7">
        <f t="shared" si="1"/>
        <v>1.7785330235974225E-2</v>
      </c>
      <c r="E16" s="18">
        <f t="shared" si="2"/>
        <v>7.9446417868137137E-3</v>
      </c>
      <c r="F16" s="47">
        <v>56.23</v>
      </c>
      <c r="G16" s="47"/>
    </row>
    <row r="17" spans="3:5" x14ac:dyDescent="0.25">
      <c r="C17" s="30">
        <f>SUM(C9:C16)</f>
        <v>2.6412964064393547</v>
      </c>
      <c r="D17" s="61">
        <v>2.262</v>
      </c>
      <c r="E17" s="43">
        <f>SUM(E9:E16)</f>
        <v>1.9963387642054722</v>
      </c>
    </row>
    <row r="18" spans="3:5" x14ac:dyDescent="0.25">
      <c r="D18" s="7">
        <f>SUM(D9:D16)</f>
        <v>2.2616333851516384</v>
      </c>
    </row>
    <row r="21" spans="3:5" x14ac:dyDescent="0.25">
      <c r="C21">
        <f>122.6*0.0063^0.29</f>
        <v>28.203254702951863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4"/>
  <sheetViews>
    <sheetView workbookViewId="0">
      <selection activeCell="H26" sqref="H26"/>
    </sheetView>
  </sheetViews>
  <sheetFormatPr defaultRowHeight="15" x14ac:dyDescent="0.25"/>
  <cols>
    <col min="1" max="1" width="11.7109375" customWidth="1"/>
    <col min="2" max="2" width="8.7109375" customWidth="1"/>
    <col min="3" max="3" width="8" customWidth="1"/>
    <col min="5" max="5" width="14.140625" style="6" customWidth="1"/>
    <col min="6" max="6" width="10.85546875" customWidth="1"/>
    <col min="7" max="7" width="9" customWidth="1"/>
    <col min="8" max="8" width="9.5703125" customWidth="1"/>
    <col min="10" max="10" width="9.28515625" customWidth="1"/>
    <col min="11" max="11" width="1.42578125" style="11" customWidth="1"/>
    <col min="12" max="12" width="6.85546875" hidden="1" customWidth="1"/>
    <col min="13" max="13" width="9.28515625" hidden="1" customWidth="1"/>
    <col min="14" max="14" width="9" customWidth="1"/>
    <col min="15" max="15" width="8.7109375" style="17" customWidth="1"/>
    <col min="16" max="16" width="1.28515625" customWidth="1"/>
    <col min="17" max="17" width="6.7109375" style="25" hidden="1" customWidth="1"/>
    <col min="18" max="18" width="7.28515625" style="25" hidden="1" customWidth="1"/>
    <col min="19" max="19" width="9.28515625" style="25" customWidth="1"/>
    <col min="20" max="20" width="7.7109375" style="25" customWidth="1"/>
    <col min="21" max="21" width="1.28515625" customWidth="1"/>
    <col min="22" max="22" width="7.7109375" hidden="1" customWidth="1"/>
    <col min="23" max="23" width="5.85546875" hidden="1" customWidth="1"/>
    <col min="24" max="24" width="7.7109375" customWidth="1"/>
    <col min="25" max="25" width="8.42578125" style="11" customWidth="1"/>
    <col min="26" max="26" width="1.28515625" customWidth="1"/>
    <col min="27" max="27" width="7.28515625" hidden="1" customWidth="1"/>
    <col min="28" max="28" width="8.42578125" hidden="1" customWidth="1"/>
    <col min="29" max="29" width="8.85546875" customWidth="1"/>
    <col min="30" max="30" width="7.5703125" style="11" customWidth="1"/>
    <col min="31" max="31" width="1.28515625" customWidth="1"/>
    <col min="32" max="32" width="0" hidden="1" customWidth="1"/>
    <col min="33" max="33" width="6.5703125" hidden="1" customWidth="1"/>
    <col min="34" max="34" width="8.5703125" customWidth="1"/>
    <col min="35" max="35" width="7.7109375" style="11" customWidth="1"/>
    <col min="36" max="36" width="1.28515625" customWidth="1"/>
    <col min="37" max="37" width="6.42578125" hidden="1" customWidth="1"/>
    <col min="38" max="38" width="5.85546875" hidden="1" customWidth="1"/>
    <col min="39" max="39" width="6.7109375" customWidth="1"/>
    <col min="40" max="40" width="5.85546875" style="11" customWidth="1"/>
    <col min="41" max="41" width="1.28515625" customWidth="1"/>
    <col min="42" max="42" width="7.28515625" hidden="1" customWidth="1"/>
    <col min="43" max="43" width="6" hidden="1" customWidth="1"/>
    <col min="44" max="44" width="7.85546875" customWidth="1"/>
    <col min="45" max="45" width="7" style="11" customWidth="1"/>
    <col min="46" max="46" width="1.28515625" customWidth="1"/>
    <col min="47" max="47" width="6.7109375" hidden="1" customWidth="1"/>
    <col min="48" max="48" width="6" hidden="1" customWidth="1"/>
    <col min="49" max="49" width="7.28515625" customWidth="1"/>
    <col min="50" max="50" width="10" bestFit="1" customWidth="1"/>
    <col min="51" max="51" width="1.5703125" style="11" customWidth="1"/>
    <col min="52" max="53" width="7" hidden="1" customWidth="1"/>
    <col min="54" max="54" width="9.85546875" customWidth="1"/>
    <col min="56" max="56" width="9.85546875" style="11" customWidth="1"/>
    <col min="57" max="57" width="12" bestFit="1" customWidth="1"/>
  </cols>
  <sheetData>
    <row r="1" spans="1:59" s="25" customFormat="1" ht="21" x14ac:dyDescent="0.35">
      <c r="A1" s="38" t="s">
        <v>0</v>
      </c>
      <c r="E1" s="34"/>
      <c r="K1" s="11"/>
      <c r="O1" s="26"/>
      <c r="AY1" s="11"/>
      <c r="BD1" s="11"/>
    </row>
    <row r="2" spans="1:59" s="25" customFormat="1" x14ac:dyDescent="0.25">
      <c r="A2" s="108" t="s">
        <v>1</v>
      </c>
      <c r="B2" s="108"/>
      <c r="C2" s="108"/>
      <c r="D2" s="31"/>
      <c r="E2" s="34"/>
      <c r="K2" s="11"/>
      <c r="O2" s="26">
        <v>0.10100000000000001</v>
      </c>
      <c r="T2" s="25">
        <v>0.13600000000000001</v>
      </c>
      <c r="Y2" s="25">
        <v>0.186</v>
      </c>
      <c r="AD2" s="25">
        <v>0.24</v>
      </c>
      <c r="AI2" s="25">
        <v>0.23100000000000001</v>
      </c>
      <c r="AN2" s="25">
        <v>7.0999999999999994E-2</v>
      </c>
      <c r="AS2" s="25">
        <v>3.1E-2</v>
      </c>
      <c r="AX2" s="25">
        <v>4.0000000000000001E-3</v>
      </c>
      <c r="AY2" s="11"/>
      <c r="BC2" s="25">
        <v>0</v>
      </c>
      <c r="BD2" s="11"/>
    </row>
    <row r="3" spans="1:59" ht="45.75" customHeight="1" x14ac:dyDescent="0.4">
      <c r="A3" s="31" t="s">
        <v>2</v>
      </c>
      <c r="B3" s="3" t="s">
        <v>3</v>
      </c>
      <c r="C3" s="31" t="s">
        <v>4</v>
      </c>
      <c r="D3" s="9" t="s">
        <v>14</v>
      </c>
      <c r="E3" s="6" t="s">
        <v>9</v>
      </c>
      <c r="F3" s="36" t="s">
        <v>24</v>
      </c>
      <c r="G3" s="49" t="s">
        <v>49</v>
      </c>
      <c r="H3" s="6" t="s">
        <v>16</v>
      </c>
      <c r="I3" s="6" t="s">
        <v>15</v>
      </c>
      <c r="J3" s="6" t="s">
        <v>17</v>
      </c>
      <c r="L3" s="6" t="s">
        <v>22</v>
      </c>
      <c r="M3" s="14" t="s">
        <v>23</v>
      </c>
      <c r="N3" s="8" t="s">
        <v>25</v>
      </c>
      <c r="O3" s="36" t="s">
        <v>86</v>
      </c>
      <c r="P3" s="17"/>
      <c r="Q3" s="34" t="s">
        <v>22</v>
      </c>
      <c r="R3" s="35" t="s">
        <v>23</v>
      </c>
      <c r="S3" s="36" t="s">
        <v>25</v>
      </c>
      <c r="T3" s="36" t="s">
        <v>86</v>
      </c>
      <c r="U3" s="17"/>
      <c r="V3" s="6" t="s">
        <v>22</v>
      </c>
      <c r="W3" s="14" t="s">
        <v>23</v>
      </c>
      <c r="X3" s="8" t="s">
        <v>25</v>
      </c>
      <c r="Y3" s="36" t="s">
        <v>86</v>
      </c>
      <c r="Z3" s="11"/>
      <c r="AA3" t="s">
        <v>28</v>
      </c>
      <c r="AB3" s="14" t="s">
        <v>23</v>
      </c>
      <c r="AC3" s="8" t="s">
        <v>25</v>
      </c>
      <c r="AD3" s="36" t="s">
        <v>86</v>
      </c>
      <c r="AE3" s="11"/>
      <c r="AF3" t="s">
        <v>28</v>
      </c>
      <c r="AG3" s="14" t="s">
        <v>23</v>
      </c>
      <c r="AH3" s="8" t="s">
        <v>25</v>
      </c>
      <c r="AI3" s="36" t="s">
        <v>86</v>
      </c>
      <c r="AJ3" s="11"/>
      <c r="AK3" s="1" t="s">
        <v>28</v>
      </c>
      <c r="AL3" s="15" t="s">
        <v>29</v>
      </c>
      <c r="AM3" s="16" t="s">
        <v>25</v>
      </c>
      <c r="AN3" s="36" t="s">
        <v>86</v>
      </c>
      <c r="AO3" s="11"/>
      <c r="AP3" s="1" t="s">
        <v>28</v>
      </c>
      <c r="AQ3" s="15" t="s">
        <v>29</v>
      </c>
      <c r="AR3" s="16" t="s">
        <v>25</v>
      </c>
      <c r="AS3" s="36" t="s">
        <v>86</v>
      </c>
      <c r="AT3" s="11"/>
      <c r="AU3" s="1" t="s">
        <v>28</v>
      </c>
      <c r="AV3" s="15" t="s">
        <v>29</v>
      </c>
      <c r="AW3" s="16" t="s">
        <v>25</v>
      </c>
      <c r="AX3" s="36" t="s">
        <v>86</v>
      </c>
      <c r="AZ3" s="1" t="s">
        <v>28</v>
      </c>
      <c r="BA3" s="15" t="s">
        <v>29</v>
      </c>
      <c r="BB3" s="16" t="s">
        <v>25</v>
      </c>
      <c r="BC3" s="36" t="s">
        <v>86</v>
      </c>
      <c r="BE3" t="s">
        <v>88</v>
      </c>
      <c r="BG3" t="s">
        <v>87</v>
      </c>
    </row>
    <row r="4" spans="1:59" x14ac:dyDescent="0.25">
      <c r="A4" s="4">
        <v>1</v>
      </c>
      <c r="B4" s="5">
        <v>10</v>
      </c>
      <c r="C4" s="4"/>
      <c r="D4" s="27">
        <f>(B4*B5)^0.5</f>
        <v>11.220071301021219</v>
      </c>
      <c r="E4" s="6" t="s">
        <v>8</v>
      </c>
      <c r="F4" s="51">
        <f>0.065*1600*9.8*B4/1000000</f>
        <v>1.0192E-2</v>
      </c>
      <c r="G4" s="50">
        <v>4.5999999999999999E-2</v>
      </c>
      <c r="H4" s="10">
        <f t="shared" ref="H4:H11" si="0">1600*9.8*(D4/1000000)^2/(18*0.0014)</f>
        <v>7.8331555555555585E-5</v>
      </c>
      <c r="I4" s="7">
        <f>100*H4</f>
        <v>7.8331555555555578E-3</v>
      </c>
      <c r="J4" s="61">
        <v>1</v>
      </c>
      <c r="L4">
        <v>0.3</v>
      </c>
      <c r="M4" s="7">
        <f>1050*(0.4*L4/10.3)^2</f>
        <v>0.14252050146102363</v>
      </c>
      <c r="N4">
        <f>J4*H4*(1-M4/G4)</f>
        <v>-1.6436089179226645E-4</v>
      </c>
      <c r="O4">
        <v>0</v>
      </c>
      <c r="P4" s="17"/>
      <c r="Q4" s="26">
        <v>0.25</v>
      </c>
      <c r="R4" s="7">
        <f>1050*(0.4*Q4/10.3)^2</f>
        <v>9.8972570459044187E-2</v>
      </c>
      <c r="S4">
        <f>J4*H4*(1-R4/G4)</f>
        <v>-9.0204866213765272E-5</v>
      </c>
      <c r="T4" s="26">
        <v>0</v>
      </c>
      <c r="U4" s="17"/>
      <c r="V4">
        <v>0.2</v>
      </c>
      <c r="W4" s="7">
        <f>1050*(0.4*V4/10.3)^2</f>
        <v>6.3342445093788308E-2</v>
      </c>
      <c r="X4">
        <f>J4*H4*(1-W4/G4)</f>
        <v>-2.9531754376809808E-5</v>
      </c>
      <c r="Y4">
        <v>0</v>
      </c>
      <c r="Z4" s="11"/>
      <c r="AA4">
        <v>0.15</v>
      </c>
      <c r="AB4" s="7">
        <f>1050*(0.4*AA4/10.3)^2</f>
        <v>3.5630125365255907E-2</v>
      </c>
      <c r="AC4">
        <f>J4*H4*(1-AB4/G4)</f>
        <v>1.765844371860008E-5</v>
      </c>
      <c r="AD4">
        <f>AC4*0.24</f>
        <v>4.2380264924640189E-6</v>
      </c>
      <c r="AE4" s="11"/>
      <c r="AF4">
        <v>0.1</v>
      </c>
      <c r="AG4" s="7">
        <f>1050*(0.4*AF4/10.3)^2</f>
        <v>1.5835611273447077E-2</v>
      </c>
      <c r="AH4">
        <f>J4*H4*(1-AG4/G4)</f>
        <v>5.1365728072464243E-5</v>
      </c>
      <c r="AI4">
        <f t="shared" ref="AI4:AI11" si="1">AH4*0.231</f>
        <v>1.1865483184739241E-5</v>
      </c>
      <c r="AJ4" s="11"/>
      <c r="AK4">
        <v>7.4999999999999997E-2</v>
      </c>
      <c r="AL4" s="7">
        <f>1050*(0.4*AK4/10.3)^2</f>
        <v>8.9075313413139769E-3</v>
      </c>
      <c r="AM4">
        <f>J4*H4*(1-AL4/G4)</f>
        <v>6.3163277596316707E-5</v>
      </c>
      <c r="AN4">
        <f>AM4*0.071</f>
        <v>4.4845927093384862E-6</v>
      </c>
      <c r="AO4" s="11"/>
      <c r="AP4">
        <v>0.05</v>
      </c>
      <c r="AQ4" s="7">
        <f>1050*(0.4*AP4/10.3)^2</f>
        <v>3.9589028183617692E-3</v>
      </c>
      <c r="AR4">
        <f>J4*H4*(1-AQ4/G4)</f>
        <v>7.1590098684782755E-5</v>
      </c>
      <c r="AS4">
        <f>AR4*0.031</f>
        <v>2.2192930592282652E-6</v>
      </c>
      <c r="AT4" s="11"/>
      <c r="AU4">
        <v>2.5000000000000001E-2</v>
      </c>
      <c r="AV4" s="7">
        <f>1050*(0.4*AU4/10.3)^2</f>
        <v>9.8972570459044231E-4</v>
      </c>
      <c r="AW4">
        <f>J4*H4*(1-AV4/G4)</f>
        <v>7.6646191337862381E-5</v>
      </c>
      <c r="AX4">
        <f>AW4*0.004</f>
        <v>3.0658476535144954E-7</v>
      </c>
      <c r="AZ4">
        <v>1E-3</v>
      </c>
      <c r="BA4" s="7">
        <f>1050*(0.4*AZ4/10.3)^2</f>
        <v>1.5835611273447073E-6</v>
      </c>
      <c r="BB4" s="10">
        <f>J4*H4*(1-BA4/G4)</f>
        <v>7.8328858972807284E-5</v>
      </c>
      <c r="BC4" s="10">
        <f>BB4*0</f>
        <v>0</v>
      </c>
      <c r="BE4">
        <f>(T4+Y4+AD4+AI4+AN4+AS4+AX4+BC4)*BG4</f>
        <v>2.5933885796878279E-4</v>
      </c>
      <c r="BG4" s="47">
        <v>11.22</v>
      </c>
    </row>
    <row r="5" spans="1:59" x14ac:dyDescent="0.25">
      <c r="A5" s="4">
        <v>1.1000000000000001</v>
      </c>
      <c r="B5" s="5">
        <v>12.589</v>
      </c>
      <c r="C5" s="5">
        <v>2.589</v>
      </c>
      <c r="D5" s="27">
        <f t="shared" ref="D5:D11" si="2">(B5*B6)^0.5</f>
        <v>14.125263218786403</v>
      </c>
      <c r="E5" s="6" t="s">
        <v>5</v>
      </c>
      <c r="F5" s="51">
        <f t="shared" ref="F5:F11" si="3">0.065*1600*9.8*B5/1000000</f>
        <v>1.28307088E-2</v>
      </c>
      <c r="G5" s="50">
        <v>5.1999999999999998E-2</v>
      </c>
      <c r="H5" s="10">
        <f t="shared" si="0"/>
        <v>1.2414768240000002E-4</v>
      </c>
      <c r="I5" s="7">
        <f t="shared" ref="I5:I11" si="4">100*H5</f>
        <v>1.2414768240000002E-2</v>
      </c>
      <c r="J5" s="43">
        <v>0.56200000000000006</v>
      </c>
      <c r="L5">
        <v>0.3</v>
      </c>
      <c r="M5" s="7">
        <f t="shared" ref="M5:M11" si="5">1050*(0.4*L5/10.3)^2</f>
        <v>0.14252050146102363</v>
      </c>
      <c r="N5">
        <f t="shared" ref="N5:N11" si="6">J5*H5*(1-M5/G5)</f>
        <v>-1.2145587849870017E-4</v>
      </c>
      <c r="O5">
        <v>0</v>
      </c>
      <c r="P5" s="17"/>
      <c r="Q5" s="26">
        <v>0.25</v>
      </c>
      <c r="R5" s="7">
        <f t="shared" ref="R5:R11" si="7">1050*(0.4*Q5/10.3)^2</f>
        <v>9.8972570459044187E-2</v>
      </c>
      <c r="S5">
        <f t="shared" ref="S5:S11" si="8">J5*H5*(1-R5/G5)</f>
        <v>-6.3025444163075108E-5</v>
      </c>
      <c r="T5" s="26">
        <v>0</v>
      </c>
      <c r="U5" s="17"/>
      <c r="V5">
        <v>0.2</v>
      </c>
      <c r="W5" s="7">
        <f t="shared" ref="W5:W11" si="9">1050*(0.4*V5/10.3)^2</f>
        <v>6.3342445093788308E-2</v>
      </c>
      <c r="X5">
        <f t="shared" ref="X5:X11" si="10">J5*H5*(1-W5/G5)</f>
        <v>-1.5218725161200099E-5</v>
      </c>
      <c r="Y5">
        <v>0</v>
      </c>
      <c r="Z5" s="11"/>
      <c r="AA5">
        <v>0.15</v>
      </c>
      <c r="AB5" s="7">
        <f t="shared" ref="AB5:AB11" si="11">1050*(0.4*AA5/10.3)^2</f>
        <v>3.5630125365255907E-2</v>
      </c>
      <c r="AC5">
        <f t="shared" ref="AC5:AC11" si="12">J5*H5*(1-AB5/G5)</f>
        <v>2.1964278506924976E-5</v>
      </c>
      <c r="AD5">
        <f t="shared" ref="AD5:AD11" si="13">AC5*0.24</f>
        <v>5.2714268416619938E-6</v>
      </c>
      <c r="AE5" s="11"/>
      <c r="AF5">
        <v>0.1</v>
      </c>
      <c r="AG5" s="7">
        <f t="shared" ref="AG5:AG11" si="14">1050*(0.4*AF5/10.3)^2</f>
        <v>1.5835611273447077E-2</v>
      </c>
      <c r="AH5">
        <f t="shared" ref="AH5:AH11" si="15">J5*H5*(1-AG5/G5)</f>
        <v>4.8523566841299989E-5</v>
      </c>
      <c r="AI5">
        <f t="shared" si="1"/>
        <v>1.1208943940340297E-5</v>
      </c>
      <c r="AJ5" s="11"/>
      <c r="AK5">
        <v>7.4999999999999997E-2</v>
      </c>
      <c r="AL5" s="7">
        <f t="shared" ref="AL5:AL11" si="16">1050*(0.4*AK5/10.3)^2</f>
        <v>8.9075313413139769E-3</v>
      </c>
      <c r="AM5">
        <f t="shared" ref="AM5:AM11" si="17">J5*H5*(1-AL5/G5)</f>
        <v>5.7819317758331268E-5</v>
      </c>
      <c r="AN5">
        <f t="shared" ref="AN5:AN11" si="18">AM5*0.071</f>
        <v>4.1051715608415199E-6</v>
      </c>
      <c r="AO5" s="11"/>
      <c r="AP5">
        <v>0.05</v>
      </c>
      <c r="AQ5" s="7">
        <f t="shared" ref="AQ5:AQ11" si="19">1050*(0.4*AP5/10.3)^2</f>
        <v>3.9589028183617692E-3</v>
      </c>
      <c r="AR5">
        <f t="shared" ref="AR5:AR11" si="20">J5*H5*(1-AQ5/G5)</f>
        <v>6.4459139841925014E-5</v>
      </c>
      <c r="AS5">
        <f t="shared" ref="AS5:AS11" si="21">AR5*0.031</f>
        <v>1.9982333350996755E-6</v>
      </c>
      <c r="AT5" s="11"/>
      <c r="AU5">
        <v>2.5000000000000001E-2</v>
      </c>
      <c r="AV5" s="7">
        <f t="shared" ref="AV5:AV11" si="22">1050*(0.4*AU5/10.3)^2</f>
        <v>9.8972570459044231E-4</v>
      </c>
      <c r="AW5">
        <f t="shared" ref="AW5:AW11" si="23">J5*H5*(1-AV5/G5)</f>
        <v>6.8443033092081276E-5</v>
      </c>
      <c r="AX5">
        <f t="shared" ref="AX5:AX11" si="24">AW5*0.004</f>
        <v>2.7377213236832513E-7</v>
      </c>
      <c r="AZ5">
        <v>1E-3</v>
      </c>
      <c r="BA5" s="7">
        <f t="shared" ref="BA5:BA11" si="25">1050*(0.4*AZ5/10.3)^2</f>
        <v>1.5835611273447073E-6</v>
      </c>
      <c r="BB5" s="10">
        <f t="shared" ref="BB5:BB11" si="26">J5*H5*(1-BA5/G5)</f>
        <v>6.9768872765733274E-5</v>
      </c>
      <c r="BC5" s="10">
        <f t="shared" ref="BC5:BC11" si="27">BB5*0</f>
        <v>0</v>
      </c>
      <c r="BE5">
        <f t="shared" ref="BE5:BE11" si="28">(T5+Y5+AD5+AI5+AN5+AS5+AX5+BC5)*BG5</f>
        <v>3.2297715055970593E-4</v>
      </c>
      <c r="BG5" s="47">
        <v>14.13</v>
      </c>
    </row>
    <row r="6" spans="1:59" x14ac:dyDescent="0.25">
      <c r="A6" s="4">
        <v>1.2</v>
      </c>
      <c r="B6" s="5">
        <v>15.849</v>
      </c>
      <c r="C6" s="5">
        <v>3.26</v>
      </c>
      <c r="D6" s="27">
        <f t="shared" si="2"/>
        <v>17.783000224933925</v>
      </c>
      <c r="E6" s="6" t="s">
        <v>6</v>
      </c>
      <c r="F6" s="51">
        <f t="shared" si="3"/>
        <v>1.6153300799999999E-2</v>
      </c>
      <c r="G6" s="50">
        <v>5.8999999999999997E-2</v>
      </c>
      <c r="H6" s="10">
        <f t="shared" si="0"/>
        <v>1.9676850480000003E-4</v>
      </c>
      <c r="I6" s="7">
        <f t="shared" si="4"/>
        <v>1.9676850480000004E-2</v>
      </c>
      <c r="J6" s="43">
        <v>0.316</v>
      </c>
      <c r="L6">
        <v>0.3</v>
      </c>
      <c r="M6" s="7">
        <f t="shared" si="5"/>
        <v>0.14252050146102363</v>
      </c>
      <c r="N6">
        <f t="shared" si="6"/>
        <v>-8.8020483472401044E-5</v>
      </c>
      <c r="O6">
        <v>0</v>
      </c>
      <c r="P6" s="17"/>
      <c r="Q6" s="26">
        <v>0.25</v>
      </c>
      <c r="R6" s="7">
        <f t="shared" si="7"/>
        <v>9.8972570459044187E-2</v>
      </c>
      <c r="S6">
        <f t="shared" si="8"/>
        <v>-4.2126243447922943E-5</v>
      </c>
      <c r="T6" s="26">
        <v>0</v>
      </c>
      <c r="U6" s="17"/>
      <c r="V6">
        <v>0.2</v>
      </c>
      <c r="W6" s="7">
        <f t="shared" si="9"/>
        <v>6.3342445093788308E-2</v>
      </c>
      <c r="X6">
        <f t="shared" si="10"/>
        <v>-4.5764107006227117E-6</v>
      </c>
      <c r="Y6">
        <v>0</v>
      </c>
      <c r="Z6" s="11"/>
      <c r="AA6">
        <v>0.15</v>
      </c>
      <c r="AB6" s="7">
        <f t="shared" si="11"/>
        <v>3.5630125365255907E-2</v>
      </c>
      <c r="AC6">
        <f t="shared" si="12"/>
        <v>2.4629014769499748E-5</v>
      </c>
      <c r="AD6">
        <f t="shared" si="13"/>
        <v>5.9109635446799393E-6</v>
      </c>
      <c r="AE6" s="11"/>
      <c r="AF6">
        <v>0.1</v>
      </c>
      <c r="AG6" s="7">
        <f t="shared" si="14"/>
        <v>1.5835611273447077E-2</v>
      </c>
      <c r="AH6">
        <f t="shared" si="15"/>
        <v>4.5490032962444338E-5</v>
      </c>
      <c r="AI6">
        <f t="shared" si="1"/>
        <v>1.0508197614324642E-5</v>
      </c>
      <c r="AJ6" s="11"/>
      <c r="AK6">
        <v>7.4999999999999997E-2</v>
      </c>
      <c r="AL6" s="7">
        <f t="shared" si="16"/>
        <v>8.9075313413139769E-3</v>
      </c>
      <c r="AM6">
        <f t="shared" si="17"/>
        <v>5.2791389329974946E-5</v>
      </c>
      <c r="AN6">
        <f t="shared" si="18"/>
        <v>3.7481886424282209E-6</v>
      </c>
      <c r="AO6" s="11"/>
      <c r="AP6">
        <v>0.05</v>
      </c>
      <c r="AQ6" s="7">
        <f t="shared" si="19"/>
        <v>3.9589028183617692E-3</v>
      </c>
      <c r="AR6">
        <f t="shared" si="20"/>
        <v>5.800664387821109E-5</v>
      </c>
      <c r="AS6">
        <f t="shared" si="21"/>
        <v>1.7982059602245438E-6</v>
      </c>
      <c r="AT6" s="11"/>
      <c r="AU6">
        <v>2.5000000000000001E-2</v>
      </c>
      <c r="AV6" s="7">
        <f t="shared" si="22"/>
        <v>9.8972570459044231E-4</v>
      </c>
      <c r="AW6">
        <f t="shared" si="23"/>
        <v>6.1135796607152777E-5</v>
      </c>
      <c r="AX6">
        <f t="shared" si="24"/>
        <v>2.4454318642861112E-7</v>
      </c>
      <c r="AZ6">
        <v>1E-3</v>
      </c>
      <c r="BA6" s="7">
        <f t="shared" si="25"/>
        <v>1.5835611273447073E-6</v>
      </c>
      <c r="BB6" s="10">
        <f t="shared" si="26"/>
        <v>6.2177178635344579E-5</v>
      </c>
      <c r="BC6" s="10">
        <f t="shared" si="27"/>
        <v>0</v>
      </c>
      <c r="BE6">
        <f t="shared" si="28"/>
        <v>3.9489555929696842E-4</v>
      </c>
      <c r="BG6" s="47">
        <v>17.78</v>
      </c>
    </row>
    <row r="7" spans="1:59" x14ac:dyDescent="0.25">
      <c r="A7" s="4">
        <v>1.3</v>
      </c>
      <c r="B7" s="5">
        <v>19.952999999999999</v>
      </c>
      <c r="C7" s="5">
        <v>4.1040000000000001</v>
      </c>
      <c r="D7" s="27">
        <f t="shared" si="2"/>
        <v>22.387483266325404</v>
      </c>
      <c r="E7" s="6" t="s">
        <v>7</v>
      </c>
      <c r="F7" s="51">
        <f t="shared" si="3"/>
        <v>2.0336097600000002E-2</v>
      </c>
      <c r="G7" s="50">
        <v>6.6000000000000003E-2</v>
      </c>
      <c r="H7" s="10">
        <f t="shared" si="0"/>
        <v>3.118574088E-4</v>
      </c>
      <c r="I7" s="7">
        <f t="shared" si="4"/>
        <v>3.118574088E-2</v>
      </c>
      <c r="J7" s="43">
        <v>0.17799999999999999</v>
      </c>
      <c r="L7">
        <v>0.3</v>
      </c>
      <c r="M7" s="7">
        <f t="shared" si="5"/>
        <v>0.14252050146102363</v>
      </c>
      <c r="N7">
        <f t="shared" si="6"/>
        <v>-6.4359096733585414E-5</v>
      </c>
      <c r="O7">
        <v>0</v>
      </c>
      <c r="P7" s="17"/>
      <c r="Q7" s="26">
        <v>0.25</v>
      </c>
      <c r="R7" s="7">
        <f t="shared" si="7"/>
        <v>9.8972570459044187E-2</v>
      </c>
      <c r="S7">
        <f t="shared" si="8"/>
        <v>-2.7732239219700975E-5</v>
      </c>
      <c r="T7" s="26">
        <v>0</v>
      </c>
      <c r="U7" s="17"/>
      <c r="V7">
        <v>0.2</v>
      </c>
      <c r="W7" s="7">
        <f t="shared" si="9"/>
        <v>6.3342445093788308E-2</v>
      </c>
      <c r="X7">
        <f t="shared" si="10"/>
        <v>2.2351896552953524E-6</v>
      </c>
      <c r="Y7">
        <f>X7*0.186</f>
        <v>4.1574527588493557E-7</v>
      </c>
      <c r="Z7" s="11"/>
      <c r="AA7">
        <v>0.15</v>
      </c>
      <c r="AB7" s="7">
        <f t="shared" si="11"/>
        <v>3.5630125365255907E-2</v>
      </c>
      <c r="AC7">
        <f t="shared" si="12"/>
        <v>2.5543189891403646E-5</v>
      </c>
      <c r="AD7">
        <f t="shared" si="13"/>
        <v>6.1303655739368745E-6</v>
      </c>
      <c r="AE7" s="11"/>
      <c r="AF7">
        <v>0.1</v>
      </c>
      <c r="AG7" s="7">
        <f t="shared" si="14"/>
        <v>1.5835611273447077E-2</v>
      </c>
      <c r="AH7">
        <f t="shared" si="15"/>
        <v>4.2191761488623835E-5</v>
      </c>
      <c r="AI7">
        <f t="shared" si="1"/>
        <v>9.7462969038721065E-6</v>
      </c>
      <c r="AJ7" s="11"/>
      <c r="AK7">
        <v>7.4999999999999997E-2</v>
      </c>
      <c r="AL7" s="7">
        <f t="shared" si="16"/>
        <v>8.9075313413139769E-3</v>
      </c>
      <c r="AM7">
        <f t="shared" si="17"/>
        <v>4.8018761547650916E-5</v>
      </c>
      <c r="AN7">
        <f t="shared" si="18"/>
        <v>3.4093320698832147E-6</v>
      </c>
      <c r="AO7" s="11"/>
      <c r="AP7">
        <v>0.05</v>
      </c>
      <c r="AQ7" s="7">
        <f t="shared" si="19"/>
        <v>3.9589028183617692E-3</v>
      </c>
      <c r="AR7">
        <f t="shared" si="20"/>
        <v>5.2180904446955954E-5</v>
      </c>
      <c r="AS7">
        <f t="shared" si="21"/>
        <v>1.6176080378556346E-6</v>
      </c>
      <c r="AT7" s="11"/>
      <c r="AU7">
        <v>2.5000000000000001E-2</v>
      </c>
      <c r="AV7" s="7">
        <f t="shared" si="22"/>
        <v>9.8972570459044231E-4</v>
      </c>
      <c r="AW7">
        <f t="shared" si="23"/>
        <v>5.467819018653899E-5</v>
      </c>
      <c r="AX7">
        <f t="shared" si="24"/>
        <v>2.1871276074615597E-7</v>
      </c>
      <c r="AZ7">
        <v>1E-3</v>
      </c>
      <c r="BA7" s="7">
        <f t="shared" si="25"/>
        <v>1.5835611273447073E-6</v>
      </c>
      <c r="BB7" s="10">
        <f t="shared" si="26"/>
        <v>5.5509286880672219E-5</v>
      </c>
      <c r="BC7" s="10">
        <f t="shared" si="27"/>
        <v>0</v>
      </c>
      <c r="BE7">
        <f t="shared" si="28"/>
        <v>4.8223717733058614E-4</v>
      </c>
      <c r="BG7" s="47">
        <v>22.39</v>
      </c>
    </row>
    <row r="8" spans="1:59" x14ac:dyDescent="0.25">
      <c r="A8" s="4">
        <v>1.4</v>
      </c>
      <c r="B8" s="5">
        <v>25.119</v>
      </c>
      <c r="C8" s="5">
        <v>5.1660000000000004</v>
      </c>
      <c r="D8" s="27">
        <f t="shared" si="2"/>
        <v>28.184004985097488</v>
      </c>
      <c r="E8" s="6" t="s">
        <v>10</v>
      </c>
      <c r="F8" s="51">
        <f t="shared" si="3"/>
        <v>2.5601284800000002E-2</v>
      </c>
      <c r="G8" s="50">
        <v>7.4999999999999997E-2</v>
      </c>
      <c r="H8" s="10">
        <f t="shared" si="0"/>
        <v>4.9425484080000011E-4</v>
      </c>
      <c r="I8" s="7">
        <f t="shared" si="4"/>
        <v>4.9425484080000012E-2</v>
      </c>
      <c r="J8" s="43">
        <v>0.1</v>
      </c>
      <c r="L8">
        <v>0.3</v>
      </c>
      <c r="M8" s="7">
        <f t="shared" si="5"/>
        <v>0.14252050146102363</v>
      </c>
      <c r="N8">
        <f t="shared" si="6"/>
        <v>-4.4496446267139212E-5</v>
      </c>
      <c r="O8">
        <v>0</v>
      </c>
      <c r="P8" s="17"/>
      <c r="Q8" s="26">
        <v>0.25</v>
      </c>
      <c r="R8" s="7">
        <f t="shared" si="7"/>
        <v>9.8972570459044187E-2</v>
      </c>
      <c r="S8">
        <f t="shared" si="8"/>
        <v>-1.5798078661068897E-5</v>
      </c>
      <c r="T8" s="26">
        <v>0</v>
      </c>
      <c r="U8" s="17"/>
      <c r="V8">
        <v>0.2</v>
      </c>
      <c r="W8" s="7">
        <f t="shared" si="9"/>
        <v>6.3342445093788308E-2</v>
      </c>
      <c r="X8">
        <f t="shared" si="10"/>
        <v>7.6824039257158937E-6</v>
      </c>
      <c r="Y8">
        <f t="shared" ref="Y8:Y11" si="29">X8*0.186</f>
        <v>1.4289271301831562E-6</v>
      </c>
      <c r="Z8" s="11"/>
      <c r="AA8">
        <v>0.15</v>
      </c>
      <c r="AB8" s="7">
        <f t="shared" si="11"/>
        <v>3.5630125365255907E-2</v>
      </c>
      <c r="AC8">
        <f t="shared" si="12"/>
        <v>2.5945001493215206E-5</v>
      </c>
      <c r="AD8">
        <f t="shared" si="13"/>
        <v>6.2268003583716493E-6</v>
      </c>
      <c r="AE8" s="11"/>
      <c r="AF8">
        <v>0.1</v>
      </c>
      <c r="AG8" s="7">
        <f t="shared" si="14"/>
        <v>1.5835611273447077E-2</v>
      </c>
      <c r="AH8">
        <f t="shared" si="15"/>
        <v>3.898971404142898E-5</v>
      </c>
      <c r="AI8">
        <f t="shared" si="1"/>
        <v>9.0066239435700943E-6</v>
      </c>
      <c r="AJ8" s="11"/>
      <c r="AK8">
        <v>7.4999999999999997E-2</v>
      </c>
      <c r="AL8" s="7">
        <f t="shared" si="16"/>
        <v>8.9075313413139769E-3</v>
      </c>
      <c r="AM8">
        <f t="shared" si="17"/>
        <v>4.3555363433303809E-5</v>
      </c>
      <c r="AN8">
        <f t="shared" si="18"/>
        <v>3.0924308037645703E-6</v>
      </c>
      <c r="AO8" s="11"/>
      <c r="AP8">
        <v>0.05</v>
      </c>
      <c r="AQ8" s="7">
        <f t="shared" si="19"/>
        <v>3.9589028183617692E-3</v>
      </c>
      <c r="AR8">
        <f t="shared" si="20"/>
        <v>4.6816541570357252E-5</v>
      </c>
      <c r="AS8">
        <f t="shared" si="21"/>
        <v>1.4513127886810748E-6</v>
      </c>
      <c r="AT8" s="11"/>
      <c r="AU8">
        <v>2.5000000000000001E-2</v>
      </c>
      <c r="AV8" s="7">
        <f t="shared" si="22"/>
        <v>9.8972570459044231E-4</v>
      </c>
      <c r="AW8">
        <f t="shared" si="23"/>
        <v>4.8773248452589321E-5</v>
      </c>
      <c r="AX8">
        <f t="shared" si="24"/>
        <v>1.9509299381035728E-7</v>
      </c>
      <c r="AZ8">
        <v>1E-3</v>
      </c>
      <c r="BA8" s="7">
        <f t="shared" si="25"/>
        <v>1.5835611273447073E-6</v>
      </c>
      <c r="BB8" s="10">
        <f t="shared" si="26"/>
        <v>4.9424440502996154E-5</v>
      </c>
      <c r="BC8" s="10">
        <f t="shared" si="27"/>
        <v>0</v>
      </c>
      <c r="BE8">
        <f t="shared" si="28"/>
        <v>6.0308547835797384E-4</v>
      </c>
      <c r="BG8" s="47">
        <v>28.18</v>
      </c>
    </row>
    <row r="9" spans="1:59" x14ac:dyDescent="0.25">
      <c r="A9" s="4">
        <v>1.5</v>
      </c>
      <c r="B9" s="5">
        <v>31.623000000000001</v>
      </c>
      <c r="C9" s="5">
        <v>6.5039999999999996</v>
      </c>
      <c r="D9" s="27">
        <f t="shared" si="2"/>
        <v>35.481590339216758</v>
      </c>
      <c r="E9" s="6" t="s">
        <v>11</v>
      </c>
      <c r="F9" s="51">
        <f t="shared" si="3"/>
        <v>3.2230161600000001E-2</v>
      </c>
      <c r="G9" s="50">
        <v>8.5000000000000006E-2</v>
      </c>
      <c r="H9" s="10">
        <f t="shared" si="0"/>
        <v>7.8334246853333357E-4</v>
      </c>
      <c r="I9" s="7">
        <f t="shared" si="4"/>
        <v>7.8334246853333359E-2</v>
      </c>
      <c r="J9" s="43">
        <v>5.6000000000000001E-2</v>
      </c>
      <c r="L9">
        <v>0.3</v>
      </c>
      <c r="M9" s="7">
        <f t="shared" si="5"/>
        <v>0.14252050146102363</v>
      </c>
      <c r="N9">
        <f t="shared" si="6"/>
        <v>-2.9685436352025809E-5</v>
      </c>
      <c r="O9">
        <v>0</v>
      </c>
      <c r="P9" s="17"/>
      <c r="Q9" s="26">
        <v>0.25</v>
      </c>
      <c r="R9" s="7">
        <f t="shared" si="7"/>
        <v>9.8972570459044187E-2</v>
      </c>
      <c r="S9">
        <f t="shared" si="8"/>
        <v>-7.2110263384475448E-6</v>
      </c>
      <c r="T9" s="26">
        <v>0</v>
      </c>
      <c r="U9" s="17"/>
      <c r="V9">
        <v>0.2</v>
      </c>
      <c r="W9" s="7">
        <f t="shared" si="9"/>
        <v>6.3342445093788308E-2</v>
      </c>
      <c r="X9">
        <f t="shared" si="10"/>
        <v>1.1177127309025558E-5</v>
      </c>
      <c r="Y9">
        <f t="shared" si="29"/>
        <v>2.0789456794787539E-6</v>
      </c>
      <c r="Z9" s="11"/>
      <c r="AA9">
        <v>0.15</v>
      </c>
      <c r="AB9" s="7">
        <f t="shared" si="11"/>
        <v>3.5630125365255907E-2</v>
      </c>
      <c r="AC9">
        <f t="shared" si="12"/>
        <v>2.5479024590393555E-5</v>
      </c>
      <c r="AD9">
        <f t="shared" si="13"/>
        <v>6.1149659016944533E-6</v>
      </c>
      <c r="AE9" s="11"/>
      <c r="AF9">
        <v>0.1</v>
      </c>
      <c r="AG9" s="7">
        <f t="shared" si="14"/>
        <v>1.5835611273447077E-2</v>
      </c>
      <c r="AH9">
        <f t="shared" si="15"/>
        <v>3.5694665505656396E-5</v>
      </c>
      <c r="AI9">
        <f t="shared" si="1"/>
        <v>8.2454677318066278E-6</v>
      </c>
      <c r="AJ9" s="11"/>
      <c r="AK9">
        <v>7.4999999999999997E-2</v>
      </c>
      <c r="AL9" s="7">
        <f t="shared" si="16"/>
        <v>8.9075313413139769E-3</v>
      </c>
      <c r="AM9">
        <f t="shared" si="17"/>
        <v>3.9270139825998397E-5</v>
      </c>
      <c r="AN9">
        <f t="shared" si="18"/>
        <v>2.7881799276458859E-6</v>
      </c>
      <c r="AO9" s="11"/>
      <c r="AP9">
        <v>0.05</v>
      </c>
      <c r="AQ9" s="7">
        <f t="shared" si="19"/>
        <v>3.9589028183617692E-3</v>
      </c>
      <c r="AR9">
        <f t="shared" si="20"/>
        <v>4.1824050054814106E-5</v>
      </c>
      <c r="AS9">
        <f t="shared" si="21"/>
        <v>1.2965455516992373E-6</v>
      </c>
      <c r="AT9" s="11"/>
      <c r="AU9">
        <v>2.5000000000000001E-2</v>
      </c>
      <c r="AV9" s="7">
        <f t="shared" si="22"/>
        <v>9.8972570459044231E-4</v>
      </c>
      <c r="AW9">
        <f t="shared" si="23"/>
        <v>4.3356396192103535E-5</v>
      </c>
      <c r="AX9">
        <f t="shared" si="24"/>
        <v>1.7342558476841414E-7</v>
      </c>
      <c r="AZ9">
        <v>1E-3</v>
      </c>
      <c r="BA9" s="7">
        <f t="shared" si="25"/>
        <v>1.5835611273447073E-6</v>
      </c>
      <c r="BB9" s="10">
        <f t="shared" si="26"/>
        <v>4.3866360986593458E-5</v>
      </c>
      <c r="BC9" s="10">
        <f t="shared" si="27"/>
        <v>0</v>
      </c>
      <c r="BE9">
        <f t="shared" si="28"/>
        <v>7.3434837777927283E-4</v>
      </c>
      <c r="BG9" s="47">
        <v>35.479999999999997</v>
      </c>
    </row>
    <row r="10" spans="1:59" x14ac:dyDescent="0.25">
      <c r="A10" s="4">
        <v>1.6</v>
      </c>
      <c r="B10" s="5">
        <v>39.811</v>
      </c>
      <c r="C10" s="5">
        <v>8.1880000000000006</v>
      </c>
      <c r="D10" s="27">
        <f t="shared" si="2"/>
        <v>44.668641226256256</v>
      </c>
      <c r="E10" s="6" t="s">
        <v>12</v>
      </c>
      <c r="F10" s="51">
        <f t="shared" si="3"/>
        <v>4.0575371200000002E-2</v>
      </c>
      <c r="G10" s="50">
        <v>9.7000000000000003E-2</v>
      </c>
      <c r="H10" s="10">
        <f t="shared" si="0"/>
        <v>1.2415122278222224E-3</v>
      </c>
      <c r="I10" s="7">
        <f t="shared" si="4"/>
        <v>0.12415122278222224</v>
      </c>
      <c r="J10" s="43">
        <v>3.2000000000000001E-2</v>
      </c>
      <c r="L10">
        <v>0.3</v>
      </c>
      <c r="M10" s="7">
        <f t="shared" si="5"/>
        <v>0.14252050146102363</v>
      </c>
      <c r="N10">
        <f t="shared" si="6"/>
        <v>-1.8643879317265212E-5</v>
      </c>
      <c r="O10">
        <v>0</v>
      </c>
      <c r="P10" s="17"/>
      <c r="Q10" s="26">
        <v>0.25</v>
      </c>
      <c r="R10" s="7">
        <f t="shared" si="7"/>
        <v>9.8972570459044187E-2</v>
      </c>
      <c r="S10">
        <f t="shared" si="8"/>
        <v>-8.0790774272800391E-7</v>
      </c>
      <c r="T10" s="26">
        <v>0</v>
      </c>
      <c r="U10" s="17"/>
      <c r="V10">
        <v>0.2</v>
      </c>
      <c r="W10" s="7">
        <f t="shared" si="9"/>
        <v>6.3342445093788308E-2</v>
      </c>
      <c r="X10">
        <f t="shared" si="10"/>
        <v>1.3785159909166069E-5</v>
      </c>
      <c r="Y10">
        <f t="shared" si="29"/>
        <v>2.5640397431048887E-6</v>
      </c>
      <c r="Z10" s="11"/>
      <c r="AA10">
        <v>0.15</v>
      </c>
      <c r="AB10" s="7">
        <f t="shared" si="11"/>
        <v>3.5630125365255907E-2</v>
      </c>
      <c r="AC10">
        <f t="shared" si="12"/>
        <v>2.5135323638417033E-5</v>
      </c>
      <c r="AD10">
        <f t="shared" si="13"/>
        <v>6.0324776732200872E-6</v>
      </c>
      <c r="AE10" s="11"/>
      <c r="AF10">
        <v>0.1</v>
      </c>
      <c r="AG10" s="7">
        <f t="shared" si="14"/>
        <v>1.5835611273447077E-2</v>
      </c>
      <c r="AH10">
        <f t="shared" si="15"/>
        <v>3.3242583445024855E-5</v>
      </c>
      <c r="AI10">
        <f t="shared" si="1"/>
        <v>7.6790367758007415E-6</v>
      </c>
      <c r="AJ10" s="11"/>
      <c r="AK10">
        <v>7.4999999999999997E-2</v>
      </c>
      <c r="AL10" s="7">
        <f t="shared" si="16"/>
        <v>8.9075313413139769E-3</v>
      </c>
      <c r="AM10">
        <f t="shared" si="17"/>
        <v>3.6080124377337599E-5</v>
      </c>
      <c r="AN10">
        <f t="shared" si="18"/>
        <v>2.5616888307909694E-6</v>
      </c>
      <c r="AO10" s="11"/>
      <c r="AP10">
        <v>0.05</v>
      </c>
      <c r="AQ10" s="7">
        <f t="shared" si="19"/>
        <v>3.9589028183617692E-3</v>
      </c>
      <c r="AR10">
        <f t="shared" si="20"/>
        <v>3.8106939328989548E-5</v>
      </c>
      <c r="AS10">
        <f t="shared" si="21"/>
        <v>1.1813151191986759E-6</v>
      </c>
      <c r="AT10" s="11"/>
      <c r="AU10">
        <v>2.5000000000000001E-2</v>
      </c>
      <c r="AV10" s="7">
        <f t="shared" si="22"/>
        <v>9.8972570459044231E-4</v>
      </c>
      <c r="AW10">
        <f t="shared" si="23"/>
        <v>3.9323028299980722E-5</v>
      </c>
      <c r="AX10">
        <f t="shared" si="24"/>
        <v>1.572921131999229E-7</v>
      </c>
      <c r="AZ10">
        <v>1E-3</v>
      </c>
      <c r="BA10" s="7">
        <f t="shared" si="25"/>
        <v>1.5835611273447073E-6</v>
      </c>
      <c r="BB10" s="10">
        <f t="shared" si="26"/>
        <v>3.9727742709526585E-5</v>
      </c>
      <c r="BC10" s="10">
        <f t="shared" si="27"/>
        <v>0</v>
      </c>
      <c r="BE10">
        <f t="shared" si="28"/>
        <v>9.0125523090493396E-4</v>
      </c>
      <c r="BG10" s="47">
        <v>44.67</v>
      </c>
    </row>
    <row r="11" spans="1:59" x14ac:dyDescent="0.25">
      <c r="A11" s="4">
        <v>1.7</v>
      </c>
      <c r="B11" s="5">
        <v>50.119</v>
      </c>
      <c r="C11" s="5">
        <v>10.308</v>
      </c>
      <c r="D11" s="27">
        <f t="shared" si="2"/>
        <v>56.234406051811376</v>
      </c>
      <c r="E11" s="6" t="s">
        <v>13</v>
      </c>
      <c r="F11" s="51">
        <f t="shared" si="3"/>
        <v>5.1081284800000001E-2</v>
      </c>
      <c r="G11" s="50">
        <v>0.11</v>
      </c>
      <c r="H11" s="10">
        <f t="shared" si="0"/>
        <v>1.9676585749333333E-3</v>
      </c>
      <c r="I11" s="7">
        <f t="shared" si="4"/>
        <v>0.19676585749333333</v>
      </c>
      <c r="J11" s="43">
        <v>1.7999999999999999E-2</v>
      </c>
      <c r="L11">
        <v>0.3</v>
      </c>
      <c r="M11" s="7">
        <f t="shared" si="5"/>
        <v>0.14252050146102363</v>
      </c>
      <c r="N11">
        <f t="shared" si="6"/>
        <v>-1.0470967128149751E-5</v>
      </c>
      <c r="O11">
        <v>0</v>
      </c>
      <c r="P11" s="17"/>
      <c r="Q11" s="26">
        <v>0.25</v>
      </c>
      <c r="R11" s="7">
        <f t="shared" si="7"/>
        <v>9.8972570459044187E-2</v>
      </c>
      <c r="S11">
        <f t="shared" si="8"/>
        <v>3.5506172120293396E-6</v>
      </c>
      <c r="T11">
        <f>S11*0.136</f>
        <v>4.8288394083599022E-7</v>
      </c>
      <c r="U11" s="17"/>
      <c r="V11">
        <v>0.2</v>
      </c>
      <c r="W11" s="7">
        <f t="shared" si="9"/>
        <v>6.3342445093788308E-2</v>
      </c>
      <c r="X11">
        <f t="shared" si="10"/>
        <v>1.5022822581266768E-5</v>
      </c>
      <c r="Y11">
        <f t="shared" si="29"/>
        <v>2.7942450001156188E-6</v>
      </c>
      <c r="Z11" s="11"/>
      <c r="AA11">
        <v>0.15</v>
      </c>
      <c r="AB11" s="7">
        <f t="shared" si="11"/>
        <v>3.5630125365255907E-2</v>
      </c>
      <c r="AC11">
        <f t="shared" si="12"/>
        <v>2.3945648979562559E-5</v>
      </c>
      <c r="AD11">
        <f t="shared" si="13"/>
        <v>5.7469557550950141E-6</v>
      </c>
      <c r="AE11" s="11"/>
      <c r="AF11">
        <v>0.1</v>
      </c>
      <c r="AG11" s="7">
        <f t="shared" si="14"/>
        <v>1.5835611273447077E-2</v>
      </c>
      <c r="AH11">
        <f t="shared" si="15"/>
        <v>3.0319096406916686E-5</v>
      </c>
      <c r="AI11">
        <f t="shared" si="1"/>
        <v>7.0037112699977545E-6</v>
      </c>
      <c r="AJ11" s="11"/>
      <c r="AK11">
        <v>7.4999999999999997E-2</v>
      </c>
      <c r="AL11" s="7">
        <f t="shared" si="16"/>
        <v>8.9075313413139769E-3</v>
      </c>
      <c r="AM11">
        <f t="shared" si="17"/>
        <v>3.2549803006490637E-5</v>
      </c>
      <c r="AN11">
        <f t="shared" si="18"/>
        <v>2.3110360134608351E-6</v>
      </c>
      <c r="AO11" s="11"/>
      <c r="AP11">
        <v>0.05</v>
      </c>
      <c r="AQ11" s="7">
        <f t="shared" si="19"/>
        <v>3.9589028183617692E-3</v>
      </c>
      <c r="AR11">
        <f t="shared" si="20"/>
        <v>3.4143164863329167E-5</v>
      </c>
      <c r="AS11">
        <f t="shared" si="21"/>
        <v>1.0584381107632041E-6</v>
      </c>
      <c r="AT11" s="11"/>
      <c r="AU11">
        <v>2.5000000000000001E-2</v>
      </c>
      <c r="AV11" s="7">
        <f t="shared" si="22"/>
        <v>9.8972570459044231E-4</v>
      </c>
      <c r="AW11">
        <f t="shared" si="23"/>
        <v>3.5099181977432286E-5</v>
      </c>
      <c r="AX11">
        <f t="shared" si="24"/>
        <v>1.4039672790972916E-7</v>
      </c>
      <c r="AZ11">
        <v>1E-3</v>
      </c>
      <c r="BA11" s="7">
        <f t="shared" si="25"/>
        <v>1.5835611273447073E-6</v>
      </c>
      <c r="BB11" s="10">
        <f t="shared" si="26"/>
        <v>3.5417344473005808E-5</v>
      </c>
      <c r="BC11" s="10">
        <f t="shared" si="27"/>
        <v>0</v>
      </c>
      <c r="BE11">
        <f t="shared" si="28"/>
        <v>1.0986030051861571E-3</v>
      </c>
      <c r="BG11" s="47">
        <v>56.23</v>
      </c>
    </row>
    <row r="12" spans="1:59" x14ac:dyDescent="0.25">
      <c r="A12" s="4">
        <v>1.8</v>
      </c>
      <c r="B12" s="5">
        <v>63.095999999999997</v>
      </c>
      <c r="C12" s="5">
        <v>12.977</v>
      </c>
      <c r="D12" s="5"/>
      <c r="G12" s="18">
        <v>0.124</v>
      </c>
      <c r="I12" s="11" t="s">
        <v>18</v>
      </c>
      <c r="J12" s="11">
        <f>SUM(J4:J11)</f>
        <v>2.262</v>
      </c>
      <c r="O12" s="46">
        <v>0</v>
      </c>
      <c r="P12" s="17"/>
      <c r="Q12" s="26"/>
      <c r="R12" s="26"/>
      <c r="S12" s="26"/>
      <c r="T12" s="48">
        <f>SUM(T4:T11)</f>
        <v>4.8288394083599022E-7</v>
      </c>
      <c r="U12" s="17"/>
      <c r="Y12" s="48">
        <f>SUM(Y4:Y11)</f>
        <v>9.2819028287673531E-6</v>
      </c>
      <c r="Z12" s="11"/>
      <c r="AD12" s="48">
        <f>SUM(AD4:AD11)</f>
        <v>4.5671982141124034E-5</v>
      </c>
      <c r="AE12" s="11"/>
      <c r="AI12" s="46">
        <f>SUM(AI4:AI11)</f>
        <v>7.5263761364451493E-5</v>
      </c>
      <c r="AJ12" s="11"/>
      <c r="AN12" s="46">
        <f>SUM(AN4:AN11)</f>
        <v>2.6500620558153702E-5</v>
      </c>
      <c r="AO12" s="11"/>
      <c r="AS12" s="46">
        <f>SUM(AS4:AS11)</f>
        <v>1.262095196275031E-5</v>
      </c>
      <c r="AT12" s="11"/>
      <c r="AX12" s="46">
        <f>SUM(AX4:AX11)</f>
        <v>1.7098202645829651E-6</v>
      </c>
      <c r="BC12" s="46">
        <v>0</v>
      </c>
      <c r="BD12" s="11" t="s">
        <v>89</v>
      </c>
      <c r="BE12" s="55">
        <f>SUM(BE4:BE11)</f>
        <v>4.7967408373843813E-3</v>
      </c>
    </row>
    <row r="13" spans="1:59" x14ac:dyDescent="0.25">
      <c r="F13" t="s">
        <v>52</v>
      </c>
      <c r="G13" t="s">
        <v>56</v>
      </c>
      <c r="M13" t="s">
        <v>58</v>
      </c>
      <c r="O13" s="26"/>
      <c r="P13" s="17"/>
      <c r="Q13" s="26"/>
      <c r="R13" s="26"/>
      <c r="S13" s="26"/>
      <c r="T13" s="26">
        <f>100*T12/BE13</f>
        <v>0.28151257924462736</v>
      </c>
      <c r="U13" s="17"/>
      <c r="Y13" s="26">
        <f>100*Y12/BE13</f>
        <v>5.4111809995184483</v>
      </c>
      <c r="Z13" s="11"/>
      <c r="AD13" s="25">
        <f>100*AD12/0.00025546</f>
        <v>17.878330126487135</v>
      </c>
      <c r="AI13" s="25">
        <f>100*AI12/0.00025546</f>
        <v>29.462053301672078</v>
      </c>
      <c r="AJ13" s="11"/>
      <c r="AN13" s="25">
        <f>100*AN12/0.00025546</f>
        <v>10.373686901336296</v>
      </c>
      <c r="AO13" s="11"/>
      <c r="AS13" s="25">
        <f>100*AS12/0.00025546</f>
        <v>4.9404806868982654</v>
      </c>
      <c r="AT13" s="25"/>
      <c r="AX13" s="25">
        <f>100*AX12/0.00025546</f>
        <v>0.66931036740897409</v>
      </c>
      <c r="BB13" t="s">
        <v>92</v>
      </c>
      <c r="BC13" s="25">
        <f>100*BC12/0.00025546</f>
        <v>0</v>
      </c>
      <c r="BD13" s="11" t="s">
        <v>90</v>
      </c>
      <c r="BE13" s="55">
        <f>O12+T12+Y12+AD12+AI12+AN12+AS12+AX12+BC12</f>
        <v>1.7153192306066585E-4</v>
      </c>
      <c r="BF13" s="56">
        <f>BE12/BE13</f>
        <v>27.964129077524035</v>
      </c>
      <c r="BG13" t="s">
        <v>91</v>
      </c>
    </row>
    <row r="14" spans="1:59" x14ac:dyDescent="0.25">
      <c r="H14" t="s">
        <v>15</v>
      </c>
      <c r="I14" s="6" t="s">
        <v>84</v>
      </c>
      <c r="J14" t="s">
        <v>85</v>
      </c>
      <c r="L14" t="s">
        <v>48</v>
      </c>
      <c r="O14"/>
      <c r="P14" s="17"/>
      <c r="Q14" s="26"/>
      <c r="R14" s="26"/>
      <c r="S14" s="26"/>
      <c r="T14" s="26"/>
      <c r="U14" s="17"/>
      <c r="Y14"/>
      <c r="Z14" s="11"/>
      <c r="AD14"/>
      <c r="AE14" s="11"/>
      <c r="AI14"/>
      <c r="AJ14" s="11"/>
      <c r="AN14"/>
      <c r="AO14" s="11"/>
      <c r="AS14"/>
      <c r="AT14" s="11"/>
      <c r="BC14">
        <f>T13+Y13+AD13+AI13+AN13+AS13+AX13</f>
        <v>69.01655496256582</v>
      </c>
    </row>
    <row r="15" spans="1:59" x14ac:dyDescent="0.25">
      <c r="H15" s="42" t="s">
        <v>36</v>
      </c>
      <c r="I15" s="43">
        <v>0.10100000000000001</v>
      </c>
      <c r="J15" s="43">
        <v>5.0000000000000001E-3</v>
      </c>
      <c r="L15" t="s">
        <v>26</v>
      </c>
      <c r="O15"/>
      <c r="P15" s="17"/>
      <c r="Q15" s="26"/>
      <c r="R15" s="26"/>
      <c r="S15" s="26"/>
      <c r="T15" s="26"/>
      <c r="U15" s="17"/>
      <c r="Y15"/>
      <c r="Z15" s="11"/>
      <c r="AD15"/>
      <c r="AE15" s="11"/>
      <c r="AI15"/>
      <c r="AJ15" s="11"/>
      <c r="AN15"/>
      <c r="AO15" s="11"/>
      <c r="AS15"/>
      <c r="AT15" s="11"/>
      <c r="BE15" t="s">
        <v>79</v>
      </c>
    </row>
    <row r="16" spans="1:59" ht="15.75" customHeight="1" x14ac:dyDescent="0.25">
      <c r="A16" s="40" t="s">
        <v>82</v>
      </c>
      <c r="B16" s="41"/>
      <c r="C16" s="41"/>
      <c r="D16" s="41"/>
      <c r="E16" s="40"/>
      <c r="F16" s="41"/>
      <c r="G16" s="41"/>
      <c r="H16" s="42" t="s">
        <v>38</v>
      </c>
      <c r="I16" s="43">
        <v>0.13600000000000001</v>
      </c>
      <c r="J16" s="43">
        <v>2.1000000000000001E-2</v>
      </c>
      <c r="L16" t="s">
        <v>27</v>
      </c>
      <c r="O16"/>
      <c r="P16" s="17"/>
      <c r="Q16" s="26"/>
      <c r="R16" s="26"/>
      <c r="S16" s="26"/>
      <c r="T16" s="26"/>
      <c r="U16" s="17"/>
      <c r="Y16"/>
      <c r="Z16" s="11"/>
      <c r="AD16"/>
      <c r="AE16" s="11"/>
      <c r="AI16"/>
      <c r="AJ16" s="11"/>
      <c r="AN16"/>
      <c r="AO16" s="11"/>
      <c r="AS16"/>
      <c r="AT16" s="11"/>
    </row>
    <row r="17" spans="1:46" x14ac:dyDescent="0.25">
      <c r="A17" s="41"/>
      <c r="B17" s="41" t="s">
        <v>64</v>
      </c>
      <c r="C17" s="41" t="s">
        <v>65</v>
      </c>
      <c r="D17" s="41" t="s">
        <v>66</v>
      </c>
      <c r="E17" s="40" t="s">
        <v>63</v>
      </c>
      <c r="F17" s="41"/>
      <c r="G17" s="41"/>
      <c r="H17" s="42" t="s">
        <v>37</v>
      </c>
      <c r="I17" s="43">
        <v>0.186</v>
      </c>
      <c r="J17" s="43">
        <v>8.3000000000000004E-2</v>
      </c>
      <c r="L17" s="37" t="s">
        <v>59</v>
      </c>
      <c r="M17" s="1" t="s">
        <v>57</v>
      </c>
      <c r="O17"/>
      <c r="P17" s="17"/>
      <c r="Q17" s="37" t="s">
        <v>59</v>
      </c>
      <c r="R17" s="1" t="s">
        <v>57</v>
      </c>
      <c r="S17" s="26"/>
      <c r="T17" s="26"/>
      <c r="U17" s="17"/>
      <c r="V17" s="37" t="s">
        <v>59</v>
      </c>
      <c r="W17" s="1" t="s">
        <v>57</v>
      </c>
      <c r="Y17"/>
      <c r="Z17" s="11"/>
      <c r="AA17" s="37" t="s">
        <v>59</v>
      </c>
      <c r="AB17" s="1" t="s">
        <v>57</v>
      </c>
      <c r="AD17"/>
      <c r="AE17" s="11"/>
      <c r="AF17" s="37" t="s">
        <v>59</v>
      </c>
      <c r="AG17" s="1" t="s">
        <v>57</v>
      </c>
      <c r="AI17"/>
      <c r="AJ17" s="11"/>
      <c r="AK17" s="37" t="s">
        <v>59</v>
      </c>
      <c r="AL17" s="1" t="s">
        <v>57</v>
      </c>
      <c r="AN17"/>
      <c r="AO17" s="11"/>
      <c r="AP17" s="37" t="s">
        <v>59</v>
      </c>
      <c r="AQ17" s="1" t="s">
        <v>57</v>
      </c>
      <c r="AS17"/>
      <c r="AT17" s="11"/>
    </row>
    <row r="18" spans="1:46" x14ac:dyDescent="0.25">
      <c r="A18" s="40" t="s">
        <v>60</v>
      </c>
      <c r="B18" s="41" t="s">
        <v>67</v>
      </c>
      <c r="C18" s="41"/>
      <c r="D18" s="41" t="s">
        <v>70</v>
      </c>
      <c r="E18" s="40"/>
      <c r="F18" s="41" t="s">
        <v>73</v>
      </c>
      <c r="G18" s="40" t="s">
        <v>76</v>
      </c>
      <c r="H18" s="42" t="s">
        <v>39</v>
      </c>
      <c r="I18" s="43">
        <v>0.24</v>
      </c>
      <c r="J18" s="43">
        <v>0.17199999999999999</v>
      </c>
      <c r="L18">
        <v>0.3</v>
      </c>
      <c r="M18">
        <f>0.0015*1050*L18^2</f>
        <v>0.14174999999999999</v>
      </c>
      <c r="O18"/>
      <c r="P18" s="17"/>
      <c r="Q18" s="26">
        <v>0.25</v>
      </c>
      <c r="R18">
        <f>0.0015*1050*Q18^2</f>
        <v>9.8437499999999997E-2</v>
      </c>
      <c r="S18" s="26"/>
      <c r="T18" s="26"/>
      <c r="U18" s="17"/>
      <c r="V18">
        <v>0.2</v>
      </c>
      <c r="W18">
        <f>0.0015*1050*V18^2</f>
        <v>6.3000000000000014E-2</v>
      </c>
      <c r="Y18"/>
      <c r="Z18" s="11"/>
      <c r="AA18">
        <v>0.15</v>
      </c>
      <c r="AB18">
        <f>0.0015*1050*AA18^2</f>
        <v>3.5437499999999997E-2</v>
      </c>
      <c r="AD18"/>
      <c r="AE18" s="11"/>
      <c r="AI18"/>
      <c r="AJ18" s="11"/>
      <c r="AN18"/>
      <c r="AO18" s="11"/>
      <c r="AS18"/>
      <c r="AT18" s="11"/>
    </row>
    <row r="19" spans="1:46" x14ac:dyDescent="0.25">
      <c r="A19" s="40" t="s">
        <v>61</v>
      </c>
      <c r="B19" s="41" t="s">
        <v>68</v>
      </c>
      <c r="C19" s="41"/>
      <c r="D19" s="41" t="s">
        <v>71</v>
      </c>
      <c r="E19" s="40"/>
      <c r="F19" s="41" t="s">
        <v>74</v>
      </c>
      <c r="G19" s="40" t="s">
        <v>77</v>
      </c>
      <c r="H19" s="42" t="s">
        <v>40</v>
      </c>
      <c r="I19" s="43">
        <v>0.23100000000000001</v>
      </c>
      <c r="J19" s="43">
        <v>0.22500000000000001</v>
      </c>
      <c r="O19"/>
      <c r="P19" s="17"/>
      <c r="Q19" s="26"/>
      <c r="R19" s="26"/>
      <c r="S19" s="26"/>
      <c r="T19" s="26"/>
      <c r="U19" s="17"/>
      <c r="Y19"/>
      <c r="Z19" s="11"/>
      <c r="AD19"/>
      <c r="AE19" s="11"/>
      <c r="AI19"/>
      <c r="AJ19" s="11"/>
      <c r="AN19"/>
      <c r="AO19" s="11"/>
      <c r="AS19"/>
      <c r="AT19" s="11"/>
    </row>
    <row r="20" spans="1:46" x14ac:dyDescent="0.25">
      <c r="A20" s="40" t="s">
        <v>62</v>
      </c>
      <c r="B20" s="41" t="s">
        <v>69</v>
      </c>
      <c r="C20" s="41"/>
      <c r="D20" s="41" t="s">
        <v>72</v>
      </c>
      <c r="E20" s="40"/>
      <c r="F20" s="41" t="s">
        <v>75</v>
      </c>
      <c r="G20" s="40" t="s">
        <v>78</v>
      </c>
      <c r="H20" s="42" t="s">
        <v>41</v>
      </c>
      <c r="I20" s="43">
        <v>7.0999999999999994E-2</v>
      </c>
      <c r="J20" s="43">
        <v>0.11</v>
      </c>
      <c r="O20"/>
      <c r="P20" s="17"/>
      <c r="Q20" s="26"/>
      <c r="R20" s="26"/>
      <c r="S20" s="26"/>
      <c r="T20" s="26"/>
      <c r="U20" s="17"/>
      <c r="Y20"/>
      <c r="Z20" s="11"/>
      <c r="AD20"/>
      <c r="AE20" s="11"/>
      <c r="AI20"/>
      <c r="AJ20" s="11"/>
      <c r="AN20"/>
      <c r="AO20" s="11"/>
      <c r="AS20"/>
      <c r="AT20" s="11"/>
    </row>
    <row r="21" spans="1:46" x14ac:dyDescent="0.25">
      <c r="A21" s="40" t="s">
        <v>63</v>
      </c>
      <c r="B21" s="41"/>
      <c r="C21" s="41"/>
      <c r="D21" s="41"/>
      <c r="E21" s="40"/>
      <c r="F21" s="41" t="s">
        <v>79</v>
      </c>
      <c r="G21" s="40" t="s">
        <v>80</v>
      </c>
      <c r="H21" s="42" t="s">
        <v>42</v>
      </c>
      <c r="I21" s="43">
        <v>3.1E-2</v>
      </c>
      <c r="J21" s="43">
        <v>0.13600000000000001</v>
      </c>
      <c r="O21"/>
      <c r="P21" s="17"/>
      <c r="Q21" s="26"/>
      <c r="R21" s="26"/>
      <c r="S21" s="26"/>
      <c r="T21" s="26"/>
      <c r="U21" s="17"/>
      <c r="Y21"/>
      <c r="Z21" s="11"/>
      <c r="AD21"/>
      <c r="AE21" s="11"/>
      <c r="AI21"/>
      <c r="AJ21" s="11"/>
      <c r="AN21"/>
      <c r="AO21" s="11"/>
      <c r="AS21"/>
      <c r="AT21" s="11"/>
    </row>
    <row r="22" spans="1:46" x14ac:dyDescent="0.25">
      <c r="A22" s="41" t="s">
        <v>83</v>
      </c>
      <c r="B22" s="41"/>
      <c r="C22" s="41"/>
      <c r="D22" s="41"/>
      <c r="E22" s="40"/>
      <c r="F22" s="41" t="s">
        <v>81</v>
      </c>
      <c r="G22" s="41"/>
      <c r="H22" s="42" t="s">
        <v>43</v>
      </c>
      <c r="I22" s="43">
        <v>4.0000000000000001E-3</v>
      </c>
      <c r="J22" s="43">
        <v>0.14099999999999999</v>
      </c>
      <c r="O22"/>
      <c r="P22" s="17"/>
      <c r="Q22" s="26"/>
      <c r="R22" s="26"/>
      <c r="S22" s="26"/>
      <c r="T22" s="26"/>
      <c r="U22" s="17"/>
      <c r="Y22"/>
      <c r="Z22" s="11"/>
      <c r="AD22"/>
      <c r="AE22" s="11"/>
      <c r="AI22"/>
      <c r="AJ22" s="11"/>
      <c r="AN22"/>
      <c r="AO22" s="11"/>
      <c r="AS22"/>
      <c r="AT22" s="11"/>
    </row>
    <row r="23" spans="1:46" x14ac:dyDescent="0.25">
      <c r="H23" s="42" t="s">
        <v>44</v>
      </c>
      <c r="I23" s="43">
        <v>0</v>
      </c>
      <c r="J23" s="43">
        <v>0.107</v>
      </c>
      <c r="O23"/>
      <c r="P23" s="17"/>
      <c r="Q23" s="26"/>
      <c r="R23" s="26"/>
      <c r="S23" s="26"/>
      <c r="T23" s="26"/>
      <c r="U23" s="17"/>
      <c r="Y23"/>
      <c r="Z23" s="11"/>
      <c r="AD23"/>
      <c r="AE23" s="11"/>
      <c r="AI23"/>
      <c r="AJ23" s="11"/>
      <c r="AN23"/>
      <c r="AO23" s="11"/>
      <c r="AS23"/>
      <c r="AT23" s="11"/>
    </row>
    <row r="24" spans="1:46" ht="28.5" customHeight="1" x14ac:dyDescent="0.25">
      <c r="O24"/>
      <c r="P24" s="17"/>
      <c r="Q24" s="26"/>
      <c r="R24" s="26"/>
      <c r="S24" s="26"/>
      <c r="T24" s="26"/>
      <c r="U24" s="17"/>
      <c r="Y24"/>
      <c r="Z24" s="11"/>
      <c r="AD24"/>
      <c r="AE24" s="11"/>
      <c r="AI24"/>
      <c r="AJ24" s="11"/>
      <c r="AN24"/>
      <c r="AO24" s="11"/>
      <c r="AS24"/>
      <c r="AT24" s="11"/>
    </row>
    <row r="25" spans="1:46" x14ac:dyDescent="0.25">
      <c r="O25"/>
      <c r="P25" s="17"/>
      <c r="Q25" s="26"/>
      <c r="R25" s="26"/>
      <c r="S25" s="26"/>
      <c r="T25" s="26"/>
      <c r="U25" s="17"/>
      <c r="Y25"/>
      <c r="Z25" s="11"/>
      <c r="AD25"/>
      <c r="AE25" s="11"/>
      <c r="AI25"/>
      <c r="AJ25" s="11"/>
      <c r="AN25"/>
      <c r="AO25" s="11"/>
      <c r="AS25"/>
      <c r="AT25" s="11"/>
    </row>
    <row r="26" spans="1:46" x14ac:dyDescent="0.25">
      <c r="O26"/>
      <c r="P26" s="17"/>
      <c r="Q26" s="26"/>
      <c r="R26" s="26"/>
      <c r="S26" s="26"/>
      <c r="T26" s="26"/>
      <c r="U26" s="17"/>
      <c r="Y26"/>
      <c r="Z26" s="11"/>
      <c r="AD26"/>
      <c r="AE26" s="11"/>
      <c r="AI26"/>
      <c r="AJ26" s="11"/>
      <c r="AN26"/>
      <c r="AO26" s="11"/>
      <c r="AS26"/>
      <c r="AT26" s="11"/>
    </row>
    <row r="27" spans="1:46" x14ac:dyDescent="0.25">
      <c r="O27"/>
      <c r="P27" s="17"/>
      <c r="Q27" s="26"/>
      <c r="R27" s="26"/>
      <c r="S27" s="26"/>
      <c r="T27" s="26"/>
      <c r="U27" s="17"/>
      <c r="Y27"/>
      <c r="Z27" s="11"/>
      <c r="AD27"/>
      <c r="AE27" s="11"/>
      <c r="AI27"/>
      <c r="AJ27" s="11"/>
      <c r="AN27"/>
      <c r="AO27" s="11"/>
      <c r="AS27"/>
      <c r="AT27" s="11"/>
    </row>
    <row r="28" spans="1:46" x14ac:dyDescent="0.25">
      <c r="O28"/>
      <c r="P28" s="17"/>
      <c r="Q28" s="26"/>
      <c r="R28" s="26"/>
      <c r="S28" s="26"/>
      <c r="T28" s="26"/>
      <c r="U28" s="17"/>
      <c r="Y28"/>
      <c r="Z28" s="11"/>
      <c r="AD28"/>
      <c r="AE28" s="11"/>
      <c r="AI28"/>
      <c r="AJ28" s="11"/>
      <c r="AN28"/>
      <c r="AO28" s="11"/>
      <c r="AS28"/>
      <c r="AT28" s="11"/>
    </row>
    <row r="29" spans="1:46" x14ac:dyDescent="0.25">
      <c r="O29"/>
      <c r="P29" s="17"/>
      <c r="Q29" s="26"/>
      <c r="R29" s="26"/>
      <c r="S29" s="26"/>
      <c r="T29" s="26"/>
      <c r="U29" s="17"/>
      <c r="Y29"/>
      <c r="Z29" s="11"/>
      <c r="AD29"/>
      <c r="AE29" s="11"/>
      <c r="AI29"/>
      <c r="AJ29" s="11"/>
      <c r="AN29"/>
      <c r="AO29" s="11"/>
      <c r="AS29"/>
      <c r="AT29" s="11"/>
    </row>
    <row r="30" spans="1:46" x14ac:dyDescent="0.25">
      <c r="O30"/>
      <c r="P30" s="17"/>
      <c r="Q30" s="26"/>
      <c r="R30" s="26"/>
      <c r="S30" s="26"/>
      <c r="T30" s="26"/>
      <c r="U30" s="17"/>
      <c r="Y30"/>
      <c r="Z30" s="11"/>
      <c r="AD30"/>
      <c r="AE30" s="11"/>
      <c r="AI30"/>
      <c r="AJ30" s="11"/>
      <c r="AN30"/>
      <c r="AO30" s="11"/>
      <c r="AS30"/>
      <c r="AT30" s="11"/>
    </row>
    <row r="31" spans="1:46" x14ac:dyDescent="0.25">
      <c r="O31"/>
      <c r="P31" s="17"/>
      <c r="Q31" s="26"/>
      <c r="R31" s="26"/>
      <c r="S31" s="26"/>
      <c r="T31" s="26"/>
      <c r="U31" s="17"/>
      <c r="Y31"/>
      <c r="Z31" s="11"/>
      <c r="AD31"/>
      <c r="AE31" s="11"/>
      <c r="AI31"/>
      <c r="AJ31" s="11"/>
      <c r="AN31"/>
      <c r="AO31" s="11"/>
      <c r="AS31"/>
      <c r="AT31" s="11"/>
    </row>
    <row r="32" spans="1:46" x14ac:dyDescent="0.25">
      <c r="O32"/>
      <c r="P32" s="17"/>
      <c r="Q32" s="26"/>
      <c r="R32" s="26"/>
      <c r="S32" s="26"/>
      <c r="T32" s="26"/>
      <c r="U32" s="17"/>
      <c r="Y32"/>
      <c r="Z32" s="11"/>
      <c r="AD32"/>
      <c r="AE32" s="11"/>
      <c r="AI32"/>
      <c r="AJ32" s="11"/>
      <c r="AN32"/>
      <c r="AO32" s="11"/>
      <c r="AS32"/>
      <c r="AT32" s="11"/>
    </row>
    <row r="33" spans="15:46" x14ac:dyDescent="0.25">
      <c r="O33"/>
      <c r="P33" s="17"/>
      <c r="Q33" s="26"/>
      <c r="R33" s="26"/>
      <c r="S33" s="26"/>
      <c r="T33" s="26"/>
      <c r="U33" s="17"/>
      <c r="Y33"/>
      <c r="Z33" s="11"/>
      <c r="AD33"/>
      <c r="AE33" s="11"/>
      <c r="AI33"/>
      <c r="AJ33" s="11"/>
      <c r="AN33"/>
      <c r="AO33" s="11"/>
      <c r="AS33"/>
      <c r="AT33" s="11"/>
    </row>
    <row r="34" spans="15:46" x14ac:dyDescent="0.25">
      <c r="O34"/>
      <c r="P34" s="17"/>
      <c r="Q34" s="26"/>
      <c r="R34" s="26"/>
      <c r="S34" s="26"/>
      <c r="T34" s="26"/>
      <c r="U34" s="17"/>
      <c r="Y34"/>
      <c r="Z34" s="11"/>
      <c r="AD34"/>
      <c r="AE34" s="11"/>
      <c r="AI34"/>
      <c r="AJ34" s="11"/>
      <c r="AN34"/>
      <c r="AO34" s="11"/>
      <c r="AS34"/>
      <c r="AT34" s="11"/>
    </row>
  </sheetData>
  <mergeCells count="1">
    <mergeCell ref="A2:C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5"/>
  <sheetViews>
    <sheetView workbookViewId="0">
      <selection activeCell="V30" sqref="V30"/>
    </sheetView>
  </sheetViews>
  <sheetFormatPr defaultRowHeight="15" x14ac:dyDescent="0.25"/>
  <cols>
    <col min="1" max="1" width="11.7109375" customWidth="1"/>
    <col min="2" max="2" width="8.7109375" customWidth="1"/>
    <col min="3" max="3" width="8" customWidth="1"/>
    <col min="5" max="5" width="14.140625" style="6" customWidth="1"/>
    <col min="6" max="6" width="10.85546875" customWidth="1"/>
    <col min="7" max="7" width="9" customWidth="1"/>
    <col min="8" max="8" width="9.5703125" customWidth="1"/>
    <col min="10" max="10" width="9.28515625" customWidth="1"/>
    <col min="11" max="11" width="1.42578125" style="11" customWidth="1"/>
    <col min="12" max="12" width="6.85546875" customWidth="1"/>
    <col min="13" max="13" width="9.28515625" customWidth="1"/>
    <col min="14" max="14" width="9" customWidth="1"/>
    <col min="15" max="15" width="8.7109375" style="17" customWidth="1"/>
    <col min="16" max="16" width="2.28515625" customWidth="1"/>
    <col min="17" max="17" width="6.7109375" style="25" customWidth="1"/>
    <col min="18" max="18" width="7.28515625" style="25" customWidth="1"/>
    <col min="19" max="19" width="8" style="25" customWidth="1"/>
    <col min="20" max="20" width="6.7109375" style="25" customWidth="1"/>
    <col min="21" max="21" width="1.28515625" customWidth="1"/>
    <col min="22" max="22" width="7.7109375" customWidth="1"/>
    <col min="23" max="23" width="5.85546875" customWidth="1"/>
    <col min="24" max="24" width="7.7109375" customWidth="1"/>
    <col min="25" max="25" width="8.140625" style="11" customWidth="1"/>
    <col min="26" max="26" width="1.28515625" customWidth="1"/>
    <col min="27" max="27" width="7.28515625" customWidth="1"/>
    <col min="28" max="28" width="7" customWidth="1"/>
    <col min="29" max="29" width="9.28515625" customWidth="1"/>
    <col min="30" max="30" width="8.7109375" style="11" customWidth="1"/>
    <col min="31" max="31" width="1.28515625" customWidth="1"/>
    <col min="32" max="32" width="9.140625" customWidth="1"/>
    <col min="33" max="33" width="6.5703125" customWidth="1"/>
    <col min="34" max="34" width="8.5703125" customWidth="1"/>
    <col min="35" max="35" width="8.28515625" style="11" customWidth="1"/>
    <col min="36" max="36" width="1.28515625" customWidth="1"/>
    <col min="37" max="37" width="6.42578125" customWidth="1"/>
    <col min="38" max="38" width="5.85546875" customWidth="1"/>
    <col min="39" max="39" width="8" customWidth="1"/>
    <col min="40" max="40" width="8.28515625" style="11" customWidth="1"/>
    <col min="41" max="41" width="1.28515625" customWidth="1"/>
    <col min="42" max="42" width="7.28515625" customWidth="1"/>
    <col min="43" max="43" width="6" customWidth="1"/>
    <col min="44" max="44" width="7.85546875" customWidth="1"/>
    <col min="45" max="45" width="9.7109375" style="11" customWidth="1"/>
    <col min="46" max="46" width="1.28515625" customWidth="1"/>
    <col min="47" max="47" width="6.7109375" customWidth="1"/>
    <col min="48" max="48" width="6" customWidth="1"/>
    <col min="49" max="49" width="9.140625" customWidth="1"/>
    <col min="50" max="50" width="11" customWidth="1"/>
    <col min="51" max="51" width="10" style="11" customWidth="1"/>
    <col min="52" max="52" width="9.42578125" customWidth="1"/>
    <col min="53" max="53" width="7" customWidth="1"/>
    <col min="54" max="54" width="9.28515625" customWidth="1"/>
    <col min="56" max="56" width="9.85546875" style="11" customWidth="1"/>
    <col min="57" max="57" width="9.28515625" customWidth="1"/>
  </cols>
  <sheetData>
    <row r="1" spans="1:56" s="25" customFormat="1" ht="21" x14ac:dyDescent="0.35">
      <c r="A1" s="38" t="s">
        <v>0</v>
      </c>
      <c r="E1" s="34"/>
      <c r="K1" s="11"/>
      <c r="O1" s="26"/>
      <c r="AY1" s="11"/>
      <c r="BD1" s="11"/>
    </row>
    <row r="2" spans="1:56" s="25" customFormat="1" x14ac:dyDescent="0.25">
      <c r="A2" s="108" t="s">
        <v>1</v>
      </c>
      <c r="B2" s="108"/>
      <c r="C2" s="108"/>
      <c r="D2" s="58"/>
      <c r="E2" s="34"/>
      <c r="K2" s="11"/>
      <c r="N2" s="1" t="s">
        <v>38</v>
      </c>
      <c r="O2" s="25">
        <v>2.1000000000000001E-2</v>
      </c>
      <c r="P2" s="11"/>
      <c r="S2" s="1" t="s">
        <v>37</v>
      </c>
      <c r="T2" s="25">
        <v>8.3000000000000004E-2</v>
      </c>
      <c r="W2" s="1"/>
      <c r="X2" s="1" t="s">
        <v>39</v>
      </c>
      <c r="Y2" s="25">
        <v>0.17199999999999999</v>
      </c>
      <c r="AC2" s="1" t="s">
        <v>40</v>
      </c>
      <c r="AD2" s="25">
        <v>0.22500000000000001</v>
      </c>
      <c r="AH2" s="1" t="s">
        <v>41</v>
      </c>
      <c r="AI2" s="25">
        <v>0.11</v>
      </c>
      <c r="AM2" s="125" t="s">
        <v>42</v>
      </c>
      <c r="AN2" s="25">
        <v>0.13600000000000001</v>
      </c>
      <c r="AR2" s="125" t="s">
        <v>43</v>
      </c>
      <c r="AS2" s="25">
        <v>0.14099999999999999</v>
      </c>
      <c r="AW2" s="25" t="s">
        <v>116</v>
      </c>
      <c r="AX2" s="25">
        <v>0.107</v>
      </c>
      <c r="AZ2" s="25">
        <f>O2+T2+Y2+AD2+AI2+AN2+AS2+AX2</f>
        <v>0.995</v>
      </c>
    </row>
    <row r="3" spans="1:56" ht="45.75" customHeight="1" x14ac:dyDescent="0.4">
      <c r="A3" s="58" t="s">
        <v>2</v>
      </c>
      <c r="B3" s="3" t="s">
        <v>3</v>
      </c>
      <c r="C3" s="58" t="s">
        <v>4</v>
      </c>
      <c r="D3" s="9" t="s">
        <v>14</v>
      </c>
      <c r="E3" s="6" t="s">
        <v>9</v>
      </c>
      <c r="F3" s="44" t="s">
        <v>24</v>
      </c>
      <c r="G3" s="16" t="s">
        <v>49</v>
      </c>
      <c r="H3" s="6" t="s">
        <v>16</v>
      </c>
      <c r="I3" s="6" t="s">
        <v>15</v>
      </c>
      <c r="J3" s="6" t="s">
        <v>17</v>
      </c>
      <c r="L3" s="34" t="s">
        <v>22</v>
      </c>
      <c r="M3" s="35" t="s">
        <v>23</v>
      </c>
      <c r="N3" s="36" t="s">
        <v>25</v>
      </c>
      <c r="O3" s="36" t="s">
        <v>86</v>
      </c>
      <c r="P3" s="17"/>
      <c r="Q3" s="6" t="s">
        <v>22</v>
      </c>
      <c r="R3" s="14" t="s">
        <v>23</v>
      </c>
      <c r="S3" s="8" t="s">
        <v>25</v>
      </c>
      <c r="T3" s="36" t="s">
        <v>86</v>
      </c>
      <c r="U3" s="11"/>
      <c r="V3" t="s">
        <v>28</v>
      </c>
      <c r="W3" s="14" t="s">
        <v>23</v>
      </c>
      <c r="X3" s="8" t="s">
        <v>25</v>
      </c>
      <c r="Y3" s="36" t="s">
        <v>86</v>
      </c>
      <c r="Z3" s="11"/>
      <c r="AA3" t="s">
        <v>28</v>
      </c>
      <c r="AB3" s="14" t="s">
        <v>23</v>
      </c>
      <c r="AC3" s="8" t="s">
        <v>25</v>
      </c>
      <c r="AD3" s="36" t="s">
        <v>86</v>
      </c>
      <c r="AE3" s="11"/>
      <c r="AF3" s="1" t="s">
        <v>28</v>
      </c>
      <c r="AG3" s="15" t="s">
        <v>29</v>
      </c>
      <c r="AH3" s="16" t="s">
        <v>25</v>
      </c>
      <c r="AI3" s="36" t="s">
        <v>86</v>
      </c>
      <c r="AJ3" s="11"/>
      <c r="AK3" s="1" t="s">
        <v>28</v>
      </c>
      <c r="AL3" s="15" t="s">
        <v>29</v>
      </c>
      <c r="AM3" s="16" t="s">
        <v>25</v>
      </c>
      <c r="AN3" s="36" t="s">
        <v>86</v>
      </c>
      <c r="AO3" s="11"/>
      <c r="AP3" s="1" t="s">
        <v>28</v>
      </c>
      <c r="AQ3" s="15" t="s">
        <v>29</v>
      </c>
      <c r="AR3" s="16" t="s">
        <v>25</v>
      </c>
      <c r="AS3" s="36" t="s">
        <v>86</v>
      </c>
      <c r="AT3" s="11"/>
      <c r="AU3" s="1" t="s">
        <v>28</v>
      </c>
      <c r="AV3" s="15" t="s">
        <v>29</v>
      </c>
      <c r="AW3" s="16" t="s">
        <v>25</v>
      </c>
      <c r="AX3" s="36" t="s">
        <v>86</v>
      </c>
      <c r="AZ3" t="s">
        <v>88</v>
      </c>
      <c r="BB3" t="s">
        <v>87</v>
      </c>
      <c r="BD3"/>
    </row>
    <row r="4" spans="1:56" x14ac:dyDescent="0.25">
      <c r="A4" s="4">
        <v>1</v>
      </c>
      <c r="B4" s="5">
        <v>10</v>
      </c>
      <c r="C4" s="4"/>
      <c r="D4" s="27">
        <f>(B4*B5)^0.5</f>
        <v>11.220071301021219</v>
      </c>
      <c r="E4" s="6" t="s">
        <v>8</v>
      </c>
      <c r="F4" s="45">
        <f>0.065*1600*9.8*B4/1000000</f>
        <v>1.0192E-2</v>
      </c>
      <c r="G4" s="18">
        <v>4.5999999999999999E-2</v>
      </c>
      <c r="H4" s="10">
        <f t="shared" ref="H4:H11" si="0">1600*9.8*(D4/1000000)^2/(18*0.0014)</f>
        <v>7.8331555555555585E-5</v>
      </c>
      <c r="I4" s="7">
        <f>100*H4</f>
        <v>7.8331555555555578E-3</v>
      </c>
      <c r="J4" s="1">
        <v>1</v>
      </c>
      <c r="L4" s="26">
        <v>0.25</v>
      </c>
      <c r="M4" s="7">
        <f>1050*(0.4*L4/10.3)^2</f>
        <v>9.8972570459044187E-2</v>
      </c>
      <c r="N4" s="52">
        <f t="shared" ref="N4:N11" si="1">J4*H4*(1-M4/F4)</f>
        <v>-6.823312585524467E-4</v>
      </c>
      <c r="O4" s="26">
        <v>0</v>
      </c>
      <c r="P4" s="17"/>
      <c r="Q4">
        <v>0.2</v>
      </c>
      <c r="R4" s="7">
        <f>1050*(Q4/27)^2</f>
        <v>5.7613168724279844E-2</v>
      </c>
      <c r="S4" s="52">
        <f t="shared" ref="S4:S11" si="2">J4*H4*(1-R4/F4)</f>
        <v>-3.6445976377897385E-4</v>
      </c>
      <c r="T4">
        <v>0</v>
      </c>
      <c r="U4" s="11"/>
      <c r="V4">
        <v>0.15</v>
      </c>
      <c r="W4" s="7">
        <f>1050*(V4/27)^2</f>
        <v>3.2407407407407406E-2</v>
      </c>
      <c r="X4" s="52">
        <f t="shared" ref="X4:X11" si="3">J4*H4*(1-W4/F4)</f>
        <v>-1.7073856157011718E-4</v>
      </c>
      <c r="Y4">
        <v>0</v>
      </c>
      <c r="Z4" s="11"/>
      <c r="AA4">
        <v>0.1</v>
      </c>
      <c r="AB4" s="7">
        <f>1050*(AA4/27)^2</f>
        <v>1.4403292181069961E-2</v>
      </c>
      <c r="AC4" s="10">
        <f t="shared" ref="AC4:AC11" si="4">J4*H4*(1-AB4/F4)</f>
        <v>-3.2366274278076774E-5</v>
      </c>
      <c r="AD4">
        <v>0</v>
      </c>
      <c r="AE4" s="11"/>
      <c r="AF4">
        <v>7.4999999999999997E-2</v>
      </c>
      <c r="AG4" s="7">
        <f>1050*(AF4/27)^2</f>
        <v>8.1018518518518514E-3</v>
      </c>
      <c r="AH4">
        <f t="shared" ref="AH4:AH11" si="5">J4*H4*(1-AG4/F4)</f>
        <v>1.6064026274137394E-5</v>
      </c>
      <c r="AI4">
        <f t="shared" ref="AI4:AI5" si="6">AH4*$AI$2</f>
        <v>1.7670428901551133E-6</v>
      </c>
      <c r="AJ4" s="11"/>
      <c r="AK4">
        <v>0.05</v>
      </c>
      <c r="AL4" s="7">
        <f>1050*(AK4/27)^2</f>
        <v>3.6008230452674902E-3</v>
      </c>
      <c r="AM4">
        <f t="shared" ref="AM4:AM11" si="7">J4*H4*(1-AL4/F4)</f>
        <v>5.0657098097147497E-5</v>
      </c>
      <c r="AN4">
        <f>AM4*$AN$2</f>
        <v>6.8893653412120598E-6</v>
      </c>
      <c r="AO4" s="11"/>
      <c r="AP4">
        <v>2.5000000000000001E-2</v>
      </c>
      <c r="AQ4" s="7">
        <f>1050*(AP4/27)^2</f>
        <v>9.0020576131687256E-4</v>
      </c>
      <c r="AR4">
        <f t="shared" ref="AR4:AR11" si="8">J4*H4*(1-AQ4/F4)</f>
        <v>7.141294119095357E-5</v>
      </c>
      <c r="AS4">
        <f>AR4*$AS$2</f>
        <v>1.0069224707924453E-5</v>
      </c>
      <c r="AT4" s="11"/>
      <c r="AU4">
        <v>1E-3</v>
      </c>
      <c r="AV4" s="7">
        <f>1050*(AU4/27)^2</f>
        <v>1.440329218106996E-6</v>
      </c>
      <c r="AW4" s="10">
        <f t="shared" ref="AW4:AW11" si="9">J4*H4*(1-AV4/F4)</f>
        <v>7.8320485772572228E-5</v>
      </c>
      <c r="AX4" s="10">
        <f>AW4*$AX$2</f>
        <v>8.3802919776652284E-6</v>
      </c>
      <c r="AZ4">
        <f>(O4+T4+Y4+AD4+AI4+AN4+AS4+AX4)*BB4</f>
        <v>3.0412847756825591E-4</v>
      </c>
      <c r="BB4" s="47">
        <v>11.22</v>
      </c>
      <c r="BD4"/>
    </row>
    <row r="5" spans="1:56" x14ac:dyDescent="0.25">
      <c r="A5" s="4">
        <v>1.1000000000000001</v>
      </c>
      <c r="B5" s="5">
        <v>12.589</v>
      </c>
      <c r="C5" s="5">
        <v>2.589</v>
      </c>
      <c r="D5" s="27">
        <f t="shared" ref="D5:D11" si="10">(B5*B6)^0.5</f>
        <v>14.125263218786403</v>
      </c>
      <c r="E5" s="6" t="s">
        <v>5</v>
      </c>
      <c r="F5" s="45">
        <f t="shared" ref="F5:F11" si="11">0.065*1600*9.8*B5/1000000</f>
        <v>1.28307088E-2</v>
      </c>
      <c r="G5" s="18">
        <v>5.1999999999999998E-2</v>
      </c>
      <c r="H5" s="10">
        <f t="shared" si="0"/>
        <v>1.2414768240000002E-4</v>
      </c>
      <c r="I5" s="7">
        <f t="shared" ref="I5:I11" si="12">100*H5</f>
        <v>1.2414768240000002E-2</v>
      </c>
      <c r="J5" s="18">
        <v>0.56200000000000006</v>
      </c>
      <c r="L5" s="26">
        <v>0.25</v>
      </c>
      <c r="M5" s="7">
        <f t="shared" ref="M5:M11" si="13">1050*(0.4*L5/10.3)^2</f>
        <v>9.8972570459044187E-2</v>
      </c>
      <c r="N5" s="52">
        <f t="shared" si="1"/>
        <v>-4.6842335126618789E-4</v>
      </c>
      <c r="O5" s="26">
        <v>0</v>
      </c>
      <c r="P5" s="17"/>
      <c r="Q5">
        <v>0.2</v>
      </c>
      <c r="R5" s="7">
        <f t="shared" ref="R5:R11" si="14">1050*(Q5/27)^2</f>
        <v>5.7613168724279844E-2</v>
      </c>
      <c r="S5" s="52">
        <f t="shared" si="2"/>
        <v>-2.4351865111418207E-4</v>
      </c>
      <c r="T5">
        <v>0</v>
      </c>
      <c r="U5" s="11"/>
      <c r="V5">
        <v>0.15</v>
      </c>
      <c r="W5" s="7">
        <f t="shared" ref="W5:W11" si="15">1050*(V5/27)^2</f>
        <v>3.2407407407407406E-2</v>
      </c>
      <c r="X5" s="52">
        <f t="shared" si="3"/>
        <v>-1.0645442984162739E-4</v>
      </c>
      <c r="Y5">
        <v>0</v>
      </c>
      <c r="Z5" s="11"/>
      <c r="AA5">
        <v>0.1</v>
      </c>
      <c r="AB5" s="7">
        <f t="shared" ref="AB5:AB11" si="16">1050*(AA5/27)^2</f>
        <v>1.4403292181069961E-2</v>
      </c>
      <c r="AC5" s="10">
        <f t="shared" si="4"/>
        <v>-8.5514146469455005E-6</v>
      </c>
      <c r="AD5">
        <v>0</v>
      </c>
      <c r="AE5" s="11"/>
      <c r="AF5">
        <v>7.4999999999999997E-2</v>
      </c>
      <c r="AG5" s="7">
        <f t="shared" ref="AG5:AG11" si="17">1050*(AF5/27)^2</f>
        <v>8.1018518518518514E-3</v>
      </c>
      <c r="AH5">
        <f t="shared" si="5"/>
        <v>2.5714640671193172E-5</v>
      </c>
      <c r="AI5">
        <f t="shared" si="6"/>
        <v>2.828610473831249E-6</v>
      </c>
      <c r="AJ5" s="11"/>
      <c r="AK5">
        <v>0.05</v>
      </c>
      <c r="AL5" s="7">
        <f t="shared" ref="AL5:AL11" si="18">1050*(AK5/27)^2</f>
        <v>3.6008230452674902E-3</v>
      </c>
      <c r="AM5">
        <f t="shared" si="7"/>
        <v>5.0190394469863647E-5</v>
      </c>
      <c r="AN5">
        <f t="shared" ref="AN5:AN11" si="19">AM5*$AN$2</f>
        <v>6.8258936479014562E-6</v>
      </c>
      <c r="AO5" s="11"/>
      <c r="AP5">
        <v>2.5000000000000001E-2</v>
      </c>
      <c r="AQ5" s="7">
        <f t="shared" ref="AQ5:AQ11" si="20">1050*(AP5/27)^2</f>
        <v>9.0020576131687256E-4</v>
      </c>
      <c r="AR5">
        <f t="shared" si="8"/>
        <v>6.4875846749065929E-5</v>
      </c>
      <c r="AS5">
        <f t="shared" ref="AS5:AS11" si="21">AR5*$AS$2</f>
        <v>9.1474943916182957E-6</v>
      </c>
      <c r="AT5" s="11"/>
      <c r="AU5">
        <v>1E-3</v>
      </c>
      <c r="AV5" s="7">
        <f t="shared" ref="AV5:AV11" si="22">1050*(AU5/27)^2</f>
        <v>1.440329218106996E-6</v>
      </c>
      <c r="AW5" s="10">
        <f t="shared" si="9"/>
        <v>6.9763165267584451E-5</v>
      </c>
      <c r="AX5" s="10">
        <f t="shared" ref="AX5:AX11" si="23">AW5*$AX$2</f>
        <v>7.4646586836315359E-6</v>
      </c>
      <c r="AZ5">
        <f t="shared" ref="AZ5:AZ11" si="24">(O5+T5+Y5+AD5+AI5+AN5+AS5+AX5)*BB5</f>
        <v>3.7114786619336324E-4</v>
      </c>
      <c r="BB5" s="47">
        <v>14.13</v>
      </c>
      <c r="BD5"/>
    </row>
    <row r="6" spans="1:56" x14ac:dyDescent="0.25">
      <c r="A6" s="4">
        <v>1.2</v>
      </c>
      <c r="B6" s="5">
        <v>15.849</v>
      </c>
      <c r="C6" s="5">
        <v>3.26</v>
      </c>
      <c r="D6" s="27">
        <f t="shared" si="10"/>
        <v>17.783000224933925</v>
      </c>
      <c r="E6" s="6" t="s">
        <v>6</v>
      </c>
      <c r="F6" s="45">
        <f t="shared" si="11"/>
        <v>1.6153300799999999E-2</v>
      </c>
      <c r="G6" s="18">
        <v>5.8999999999999997E-2</v>
      </c>
      <c r="H6" s="10">
        <f t="shared" si="0"/>
        <v>1.9676850480000003E-4</v>
      </c>
      <c r="I6" s="7">
        <f t="shared" si="12"/>
        <v>1.9676850480000004E-2</v>
      </c>
      <c r="J6" s="18">
        <v>0.316</v>
      </c>
      <c r="L6" s="26">
        <v>0.25</v>
      </c>
      <c r="M6" s="7">
        <f t="shared" si="13"/>
        <v>9.8972570459044187E-2</v>
      </c>
      <c r="N6" s="52">
        <f t="shared" si="1"/>
        <v>-3.1879594166799957E-4</v>
      </c>
      <c r="O6" s="26">
        <v>0</v>
      </c>
      <c r="P6" s="17"/>
      <c r="Q6">
        <v>0.2</v>
      </c>
      <c r="R6" s="7">
        <f t="shared" si="14"/>
        <v>5.7613168724279844E-2</v>
      </c>
      <c r="S6" s="52">
        <f t="shared" si="2"/>
        <v>-1.5959133292004719E-4</v>
      </c>
      <c r="T6">
        <v>0</v>
      </c>
      <c r="U6" s="11"/>
      <c r="V6">
        <v>0.15</v>
      </c>
      <c r="W6" s="7">
        <f t="shared" si="15"/>
        <v>3.2407407407407406E-2</v>
      </c>
      <c r="X6" s="52">
        <f t="shared" si="3"/>
        <v>-6.2566878978926506E-5</v>
      </c>
      <c r="Y6">
        <v>0</v>
      </c>
      <c r="Z6" s="11"/>
      <c r="AA6">
        <v>0.1</v>
      </c>
      <c r="AB6" s="7">
        <f t="shared" si="16"/>
        <v>1.4403292181069961E-2</v>
      </c>
      <c r="AC6">
        <f t="shared" si="4"/>
        <v>6.7363024075882154E-6</v>
      </c>
      <c r="AD6">
        <f>AC6*$AD$2</f>
        <v>1.5156680417073485E-6</v>
      </c>
      <c r="AE6" s="11"/>
      <c r="AF6">
        <v>7.4999999999999997E-2</v>
      </c>
      <c r="AG6" s="7">
        <f t="shared" si="17"/>
        <v>8.1018518518518514E-3</v>
      </c>
      <c r="AH6">
        <f t="shared" si="5"/>
        <v>3.0992415892868386E-5</v>
      </c>
      <c r="AI6">
        <f>AH6*$AI$2</f>
        <v>3.4091657482155226E-6</v>
      </c>
      <c r="AJ6" s="11"/>
      <c r="AK6">
        <v>0.05</v>
      </c>
      <c r="AL6" s="7">
        <f t="shared" si="18"/>
        <v>3.6008230452674902E-3</v>
      </c>
      <c r="AM6">
        <f t="shared" si="7"/>
        <v>4.8318211239497066E-5</v>
      </c>
      <c r="AN6">
        <f t="shared" si="19"/>
        <v>6.5712767285716011E-6</v>
      </c>
      <c r="AO6" s="11"/>
      <c r="AP6">
        <v>2.5000000000000001E-2</v>
      </c>
      <c r="AQ6" s="7">
        <f t="shared" si="20"/>
        <v>9.0020576131687256E-4</v>
      </c>
      <c r="AR6">
        <f t="shared" si="8"/>
        <v>5.8713688447474272E-5</v>
      </c>
      <c r="AS6">
        <f t="shared" si="21"/>
        <v>8.2786300710938717E-6</v>
      </c>
      <c r="AT6" s="11"/>
      <c r="AU6">
        <v>1E-3</v>
      </c>
      <c r="AV6" s="7">
        <f t="shared" si="22"/>
        <v>1.440329218106996E-6</v>
      </c>
      <c r="AW6" s="10">
        <f t="shared" si="9"/>
        <v>6.217330326228909E-5</v>
      </c>
      <c r="AX6" s="10">
        <f t="shared" si="23"/>
        <v>6.6525434490649325E-6</v>
      </c>
      <c r="AZ6">
        <f t="shared" si="24"/>
        <v>4.6987711020725532E-4</v>
      </c>
      <c r="BB6" s="47">
        <v>17.78</v>
      </c>
      <c r="BD6"/>
    </row>
    <row r="7" spans="1:56" x14ac:dyDescent="0.25">
      <c r="A7" s="4">
        <v>1.3</v>
      </c>
      <c r="B7" s="5">
        <v>19.952999999999999</v>
      </c>
      <c r="C7" s="5">
        <v>4.1040000000000001</v>
      </c>
      <c r="D7" s="27">
        <f t="shared" si="10"/>
        <v>22.387483266325404</v>
      </c>
      <c r="E7" s="6" t="s">
        <v>7</v>
      </c>
      <c r="F7" s="45">
        <f t="shared" si="11"/>
        <v>2.0336097600000002E-2</v>
      </c>
      <c r="G7" s="18">
        <v>6.6000000000000003E-2</v>
      </c>
      <c r="H7" s="10">
        <f t="shared" si="0"/>
        <v>3.118574088E-4</v>
      </c>
      <c r="I7" s="7">
        <f t="shared" si="12"/>
        <v>3.118574088E-2</v>
      </c>
      <c r="J7" s="18">
        <v>0.17799999999999999</v>
      </c>
      <c r="L7" s="26">
        <v>0.25</v>
      </c>
      <c r="M7" s="7">
        <f t="shared" si="13"/>
        <v>9.8972570459044187E-2</v>
      </c>
      <c r="N7" s="52">
        <f t="shared" si="1"/>
        <v>-2.1465078265619464E-4</v>
      </c>
      <c r="O7" s="26">
        <v>0</v>
      </c>
      <c r="P7" s="17"/>
      <c r="Q7">
        <v>0.2</v>
      </c>
      <c r="R7" s="7">
        <f t="shared" si="14"/>
        <v>5.7613168724279844E-2</v>
      </c>
      <c r="S7" s="52">
        <f t="shared" si="2"/>
        <v>-1.0175370538681305E-4</v>
      </c>
      <c r="T7">
        <v>0</v>
      </c>
      <c r="U7" s="11"/>
      <c r="V7">
        <v>0.15</v>
      </c>
      <c r="W7" s="7">
        <f t="shared" si="15"/>
        <v>3.2407407407407406E-2</v>
      </c>
      <c r="X7" s="52">
        <f t="shared" si="3"/>
        <v>-3.2950563569782321E-5</v>
      </c>
      <c r="Y7">
        <v>0</v>
      </c>
      <c r="Z7" s="11"/>
      <c r="AA7">
        <v>0.1</v>
      </c>
      <c r="AB7" s="7">
        <f t="shared" si="16"/>
        <v>1.4403292181069961E-2</v>
      </c>
      <c r="AC7">
        <f t="shared" si="4"/>
        <v>1.6194537728096738E-5</v>
      </c>
      <c r="AD7">
        <f>AC7*$AD$2</f>
        <v>3.6437709888217663E-6</v>
      </c>
      <c r="AE7" s="11"/>
      <c r="AF7">
        <v>7.4999999999999997E-2</v>
      </c>
      <c r="AG7" s="7">
        <f t="shared" si="17"/>
        <v>8.1018518518518514E-3</v>
      </c>
      <c r="AH7">
        <f t="shared" si="5"/>
        <v>3.3395323182354415E-5</v>
      </c>
      <c r="AI7">
        <f t="shared" ref="AI7:AI11" si="25">AH7*$AI$2</f>
        <v>3.6734855500589856E-6</v>
      </c>
      <c r="AJ7" s="11"/>
      <c r="AK7">
        <v>0.05</v>
      </c>
      <c r="AL7" s="7">
        <f t="shared" si="18"/>
        <v>3.6008230452674902E-3</v>
      </c>
      <c r="AM7">
        <f t="shared" si="7"/>
        <v>4.5681598506824184E-5</v>
      </c>
      <c r="AN7">
        <f t="shared" si="19"/>
        <v>6.2126973969280899E-6</v>
      </c>
      <c r="AO7" s="11"/>
      <c r="AP7">
        <v>2.5000000000000001E-2</v>
      </c>
      <c r="AQ7" s="7">
        <f t="shared" si="20"/>
        <v>9.0020576131687256E-4</v>
      </c>
      <c r="AR7">
        <f t="shared" si="8"/>
        <v>5.3053363701506041E-5</v>
      </c>
      <c r="AS7">
        <f t="shared" si="21"/>
        <v>7.4805242819123511E-6</v>
      </c>
      <c r="AT7" s="11"/>
      <c r="AU7">
        <v>1E-3</v>
      </c>
      <c r="AV7" s="7">
        <f t="shared" si="22"/>
        <v>1.440329218106996E-6</v>
      </c>
      <c r="AW7" s="10">
        <f t="shared" si="9"/>
        <v>5.5506687158296166E-5</v>
      </c>
      <c r="AX7" s="10">
        <f t="shared" si="23"/>
        <v>5.9392155259376893E-6</v>
      </c>
      <c r="AZ7">
        <f t="shared" si="24"/>
        <v>6.0340364292052234E-4</v>
      </c>
      <c r="BB7" s="47">
        <v>22.39</v>
      </c>
      <c r="BD7"/>
    </row>
    <row r="8" spans="1:56" x14ac:dyDescent="0.25">
      <c r="A8" s="4">
        <v>1.4</v>
      </c>
      <c r="B8" s="5">
        <v>25.119</v>
      </c>
      <c r="C8" s="5">
        <v>5.1660000000000004</v>
      </c>
      <c r="D8" s="27">
        <f t="shared" si="10"/>
        <v>28.184004985097488</v>
      </c>
      <c r="E8" s="6" t="s">
        <v>10</v>
      </c>
      <c r="F8" s="45">
        <f t="shared" si="11"/>
        <v>2.5601284800000002E-2</v>
      </c>
      <c r="G8" s="18">
        <v>7.4999999999999997E-2</v>
      </c>
      <c r="H8" s="10">
        <f t="shared" si="0"/>
        <v>4.9425484080000011E-4</v>
      </c>
      <c r="I8" s="7">
        <f t="shared" si="12"/>
        <v>4.9425484080000012E-2</v>
      </c>
      <c r="J8" s="18">
        <v>0.1</v>
      </c>
      <c r="L8" s="26">
        <v>0.25</v>
      </c>
      <c r="M8" s="7">
        <f t="shared" si="13"/>
        <v>9.8972570459044187E-2</v>
      </c>
      <c r="N8" s="52">
        <f t="shared" si="1"/>
        <v>-1.4164958280805582E-4</v>
      </c>
      <c r="O8" s="26">
        <v>0</v>
      </c>
      <c r="P8" s="17"/>
      <c r="Q8">
        <v>0.2</v>
      </c>
      <c r="R8" s="7">
        <f t="shared" si="14"/>
        <v>5.7613168724279844E-2</v>
      </c>
      <c r="S8" s="52">
        <f t="shared" si="2"/>
        <v>-6.1801697517551978E-5</v>
      </c>
      <c r="T8">
        <v>0</v>
      </c>
      <c r="U8" s="11"/>
      <c r="V8">
        <v>0.15</v>
      </c>
      <c r="W8" s="7">
        <f t="shared" si="15"/>
        <v>3.2407407407407406E-2</v>
      </c>
      <c r="X8" s="52">
        <f t="shared" si="3"/>
        <v>-1.3139805568622975E-5</v>
      </c>
      <c r="Y8">
        <v>0</v>
      </c>
      <c r="Z8" s="11"/>
      <c r="AA8">
        <v>0.1</v>
      </c>
      <c r="AB8" s="7">
        <f t="shared" si="16"/>
        <v>1.4403292181069961E-2</v>
      </c>
      <c r="AC8">
        <f t="shared" si="4"/>
        <v>2.1618688680612014E-5</v>
      </c>
      <c r="AD8">
        <f t="shared" ref="AD8:AD11" si="26">AC8*$AD$2</f>
        <v>4.8642049531377034E-6</v>
      </c>
      <c r="AE8" s="11"/>
      <c r="AF8">
        <v>7.4999999999999997E-2</v>
      </c>
      <c r="AG8" s="7">
        <f t="shared" si="17"/>
        <v>8.1018518518518514E-3</v>
      </c>
      <c r="AH8">
        <f t="shared" si="5"/>
        <v>3.3784161667844267E-5</v>
      </c>
      <c r="AI8">
        <f t="shared" si="25"/>
        <v>3.7162577834628694E-6</v>
      </c>
      <c r="AJ8" s="11"/>
      <c r="AK8">
        <v>0.05</v>
      </c>
      <c r="AL8" s="7">
        <f t="shared" si="18"/>
        <v>3.6008230452674902E-3</v>
      </c>
      <c r="AM8">
        <f t="shared" si="7"/>
        <v>4.2473785230153013E-5</v>
      </c>
      <c r="AN8">
        <f t="shared" si="19"/>
        <v>5.7764347913008102E-6</v>
      </c>
      <c r="AO8" s="11"/>
      <c r="AP8">
        <v>2.5000000000000001E-2</v>
      </c>
      <c r="AQ8" s="7">
        <f t="shared" si="20"/>
        <v>9.0020576131687256E-4</v>
      </c>
      <c r="AR8">
        <f t="shared" si="8"/>
        <v>4.7687559367538263E-5</v>
      </c>
      <c r="AS8">
        <f t="shared" si="21"/>
        <v>6.7239458708228949E-6</v>
      </c>
      <c r="AT8" s="11"/>
      <c r="AU8">
        <v>1E-3</v>
      </c>
      <c r="AV8" s="7">
        <f t="shared" si="22"/>
        <v>1.440329218106996E-6</v>
      </c>
      <c r="AW8" s="10">
        <f t="shared" si="9"/>
        <v>4.9422703400460073E-5</v>
      </c>
      <c r="AX8" s="10">
        <f t="shared" si="23"/>
        <v>5.288229263849228E-6</v>
      </c>
      <c r="AZ8">
        <f t="shared" si="24"/>
        <v>7.4308046763132138E-4</v>
      </c>
      <c r="BB8" s="47">
        <v>28.18</v>
      </c>
      <c r="BD8"/>
    </row>
    <row r="9" spans="1:56" x14ac:dyDescent="0.25">
      <c r="A9" s="4">
        <v>1.5</v>
      </c>
      <c r="B9" s="5">
        <v>31.623000000000001</v>
      </c>
      <c r="C9" s="5">
        <v>6.5039999999999996</v>
      </c>
      <c r="D9" s="27">
        <f t="shared" si="10"/>
        <v>35.481590339216758</v>
      </c>
      <c r="E9" s="6" t="s">
        <v>11</v>
      </c>
      <c r="F9" s="45">
        <f t="shared" si="11"/>
        <v>3.2230161600000001E-2</v>
      </c>
      <c r="G9" s="18">
        <v>8.5000000000000006E-2</v>
      </c>
      <c r="H9" s="10">
        <f t="shared" si="0"/>
        <v>7.8334246853333357E-4</v>
      </c>
      <c r="I9" s="7">
        <f t="shared" si="12"/>
        <v>7.8334246853333359E-2</v>
      </c>
      <c r="J9" s="18">
        <v>5.6000000000000001E-2</v>
      </c>
      <c r="L9" s="26">
        <v>0.25</v>
      </c>
      <c r="M9" s="7">
        <f t="shared" si="13"/>
        <v>9.8972570459044187E-2</v>
      </c>
      <c r="N9" s="52">
        <f t="shared" si="1"/>
        <v>-9.084041159273192E-5</v>
      </c>
      <c r="O9" s="26">
        <v>0</v>
      </c>
      <c r="P9" s="17"/>
      <c r="Q9">
        <v>0.2</v>
      </c>
      <c r="R9" s="7">
        <f t="shared" si="14"/>
        <v>5.7613168724279844E-2</v>
      </c>
      <c r="S9" s="52">
        <f t="shared" si="2"/>
        <v>-3.4547791337596755E-5</v>
      </c>
      <c r="T9">
        <v>0</v>
      </c>
      <c r="U9" s="11"/>
      <c r="V9">
        <v>0.15</v>
      </c>
      <c r="W9" s="7">
        <f t="shared" si="15"/>
        <v>3.2407407407407406E-2</v>
      </c>
      <c r="X9" s="52">
        <f t="shared" si="3"/>
        <v>-2.4124214833149478E-7</v>
      </c>
      <c r="Y9">
        <v>0</v>
      </c>
      <c r="Z9" s="11"/>
      <c r="AA9">
        <v>0.1</v>
      </c>
      <c r="AB9" s="7">
        <f t="shared" si="16"/>
        <v>1.4403292181069961E-2</v>
      </c>
      <c r="AC9">
        <f t="shared" si="4"/>
        <v>2.4263435844000818E-5</v>
      </c>
      <c r="AD9">
        <f t="shared" si="26"/>
        <v>5.4592730649001844E-6</v>
      </c>
      <c r="AE9" s="11"/>
      <c r="AF9">
        <v>7.4999999999999997E-2</v>
      </c>
      <c r="AG9" s="7">
        <f t="shared" si="17"/>
        <v>8.1018518518518514E-3</v>
      </c>
      <c r="AH9">
        <f t="shared" si="5"/>
        <v>3.2840073141317138E-5</v>
      </c>
      <c r="AI9">
        <f t="shared" si="25"/>
        <v>3.6124080455448851E-6</v>
      </c>
      <c r="AJ9" s="11"/>
      <c r="AK9">
        <v>0.05</v>
      </c>
      <c r="AL9" s="7">
        <f t="shared" si="18"/>
        <v>3.6008230452674902E-3</v>
      </c>
      <c r="AM9">
        <f t="shared" si="7"/>
        <v>3.8966242639400216E-5</v>
      </c>
      <c r="AN9">
        <f t="shared" si="19"/>
        <v>5.2994089989584299E-6</v>
      </c>
      <c r="AO9" s="11"/>
      <c r="AP9">
        <v>2.5000000000000001E-2</v>
      </c>
      <c r="AQ9" s="7">
        <f t="shared" si="20"/>
        <v>9.0020576131687256E-4</v>
      </c>
      <c r="AR9">
        <f t="shared" si="8"/>
        <v>4.2641944338250061E-5</v>
      </c>
      <c r="AS9">
        <f t="shared" si="21"/>
        <v>6.0125141516932582E-6</v>
      </c>
      <c r="AT9" s="11"/>
      <c r="AU9">
        <v>1E-3</v>
      </c>
      <c r="AV9" s="7">
        <f t="shared" si="22"/>
        <v>1.440329218106996E-6</v>
      </c>
      <c r="AW9" s="10">
        <f t="shared" si="9"/>
        <v>4.3865217863627293E-5</v>
      </c>
      <c r="AX9" s="10">
        <f t="shared" si="23"/>
        <v>4.69357831140812E-6</v>
      </c>
      <c r="AZ9">
        <f t="shared" si="24"/>
        <v>8.8973843767247297E-4</v>
      </c>
      <c r="BB9" s="47">
        <v>35.479999999999997</v>
      </c>
      <c r="BD9"/>
    </row>
    <row r="10" spans="1:56" x14ac:dyDescent="0.25">
      <c r="A10" s="4">
        <v>1.6</v>
      </c>
      <c r="B10" s="5">
        <v>39.811</v>
      </c>
      <c r="C10" s="5">
        <v>8.1880000000000006</v>
      </c>
      <c r="D10" s="27">
        <f t="shared" si="10"/>
        <v>44.668641226256256</v>
      </c>
      <c r="E10" s="6" t="s">
        <v>12</v>
      </c>
      <c r="F10" s="45">
        <f t="shared" si="11"/>
        <v>4.0575371200000002E-2</v>
      </c>
      <c r="G10" s="18">
        <v>9.7000000000000003E-2</v>
      </c>
      <c r="H10" s="10">
        <f t="shared" si="0"/>
        <v>1.2415122278222224E-3</v>
      </c>
      <c r="I10" s="7">
        <f t="shared" si="12"/>
        <v>0.12415122278222224</v>
      </c>
      <c r="J10" s="18">
        <v>3.2000000000000001E-2</v>
      </c>
      <c r="L10" s="26">
        <v>0.25</v>
      </c>
      <c r="M10" s="7">
        <f t="shared" si="13"/>
        <v>9.8972570459044187E-2</v>
      </c>
      <c r="N10" s="52">
        <f t="shared" si="1"/>
        <v>-5.7178202288918899E-5</v>
      </c>
      <c r="O10" s="26">
        <v>0</v>
      </c>
      <c r="P10" s="17"/>
      <c r="Q10">
        <v>0.2</v>
      </c>
      <c r="R10" s="7">
        <f t="shared" si="14"/>
        <v>5.7613168724279844E-2</v>
      </c>
      <c r="S10" s="52">
        <f t="shared" si="2"/>
        <v>-1.6682146502942739E-5</v>
      </c>
      <c r="T10">
        <v>0</v>
      </c>
      <c r="U10" s="11"/>
      <c r="V10">
        <v>0.15</v>
      </c>
      <c r="W10" s="7">
        <f t="shared" si="15"/>
        <v>3.2407407407407406E-2</v>
      </c>
      <c r="X10" s="25">
        <f t="shared" si="3"/>
        <v>7.9974637816058283E-6</v>
      </c>
      <c r="Y10">
        <f>X10*$Y$2</f>
        <v>1.3755637704362024E-6</v>
      </c>
      <c r="Z10" s="11"/>
      <c r="AA10">
        <v>0.1</v>
      </c>
      <c r="AB10" s="7">
        <f t="shared" si="16"/>
        <v>1.4403292181069961E-2</v>
      </c>
      <c r="AC10">
        <f t="shared" si="4"/>
        <v>2.5625756841997649E-5</v>
      </c>
      <c r="AD10">
        <f t="shared" si="26"/>
        <v>5.7657952894494713E-6</v>
      </c>
      <c r="AE10" s="11"/>
      <c r="AF10">
        <v>7.4999999999999997E-2</v>
      </c>
      <c r="AG10" s="7">
        <f t="shared" si="17"/>
        <v>8.1018518518518514E-3</v>
      </c>
      <c r="AH10">
        <f t="shared" si="5"/>
        <v>3.1795659413134796E-5</v>
      </c>
      <c r="AI10">
        <f t="shared" si="25"/>
        <v>3.4975225354448275E-6</v>
      </c>
      <c r="AJ10" s="11"/>
      <c r="AK10">
        <v>0.05</v>
      </c>
      <c r="AL10" s="7">
        <f t="shared" si="18"/>
        <v>3.6008230452674902E-3</v>
      </c>
      <c r="AM10">
        <f t="shared" si="7"/>
        <v>3.6202732678232751E-5</v>
      </c>
      <c r="AN10">
        <f t="shared" si="19"/>
        <v>4.9235716442396542E-6</v>
      </c>
      <c r="AO10" s="11"/>
      <c r="AP10">
        <v>2.5000000000000001E-2</v>
      </c>
      <c r="AQ10" s="7">
        <f t="shared" si="20"/>
        <v>9.0020576131687256E-4</v>
      </c>
      <c r="AR10">
        <f t="shared" si="8"/>
        <v>3.8846976637291527E-5</v>
      </c>
      <c r="AS10">
        <f t="shared" si="21"/>
        <v>5.4774237058581047E-6</v>
      </c>
      <c r="AT10" s="11"/>
      <c r="AU10">
        <v>1E-3</v>
      </c>
      <c r="AV10" s="7">
        <f t="shared" si="22"/>
        <v>1.440329218106996E-6</v>
      </c>
      <c r="AW10" s="10">
        <f t="shared" si="9"/>
        <v>3.9726981026866288E-5</v>
      </c>
      <c r="AX10" s="10">
        <f t="shared" si="23"/>
        <v>4.2507869698746925E-6</v>
      </c>
      <c r="AZ10">
        <f t="shared" si="24"/>
        <v>1.1297339570965827E-3</v>
      </c>
      <c r="BB10" s="47">
        <v>44.67</v>
      </c>
      <c r="BD10"/>
    </row>
    <row r="11" spans="1:56" x14ac:dyDescent="0.25">
      <c r="A11" s="4">
        <v>1.7</v>
      </c>
      <c r="B11" s="5">
        <v>50.119</v>
      </c>
      <c r="C11" s="5">
        <v>10.308</v>
      </c>
      <c r="D11" s="27">
        <f t="shared" si="10"/>
        <v>56.234406051811376</v>
      </c>
      <c r="E11" s="6" t="s">
        <v>13</v>
      </c>
      <c r="F11" s="45">
        <f t="shared" si="11"/>
        <v>5.1081284800000001E-2</v>
      </c>
      <c r="G11" s="18">
        <v>0.11</v>
      </c>
      <c r="H11" s="10">
        <f t="shared" si="0"/>
        <v>1.9676585749333333E-3</v>
      </c>
      <c r="I11" s="7">
        <f t="shared" si="12"/>
        <v>0.19676585749333333</v>
      </c>
      <c r="J11" s="18">
        <v>1.7999999999999999E-2</v>
      </c>
      <c r="L11" s="26">
        <v>0.25</v>
      </c>
      <c r="M11" s="7">
        <f t="shared" si="13"/>
        <v>9.8972570459044187E-2</v>
      </c>
      <c r="N11" s="52">
        <f t="shared" si="1"/>
        <v>-3.3206028131242324E-5</v>
      </c>
      <c r="O11" s="26">
        <v>0</v>
      </c>
      <c r="P11" s="17"/>
      <c r="Q11">
        <v>0.2</v>
      </c>
      <c r="R11" s="7">
        <f t="shared" si="14"/>
        <v>5.7613168724279844E-2</v>
      </c>
      <c r="S11" s="52">
        <f t="shared" si="2"/>
        <v>-4.5289642646852871E-6</v>
      </c>
      <c r="T11">
        <v>0</v>
      </c>
      <c r="U11" s="11"/>
      <c r="V11">
        <v>0.15</v>
      </c>
      <c r="W11" s="7">
        <f t="shared" si="15"/>
        <v>3.2407407407407406E-2</v>
      </c>
      <c r="X11" s="25">
        <f t="shared" si="3"/>
        <v>1.2947768878714531E-5</v>
      </c>
      <c r="Y11">
        <f>X11*$Y$2</f>
        <v>2.2270162471388992E-6</v>
      </c>
      <c r="Z11" s="11"/>
      <c r="AA11">
        <v>0.1</v>
      </c>
      <c r="AB11" s="7">
        <f t="shared" si="16"/>
        <v>1.4403292181069961E-2</v>
      </c>
      <c r="AC11">
        <f t="shared" si="4"/>
        <v>2.5431149695428671E-5</v>
      </c>
      <c r="AD11">
        <f t="shared" si="26"/>
        <v>5.722008681471451E-6</v>
      </c>
      <c r="AE11" s="11"/>
      <c r="AF11">
        <v>7.4999999999999997E-2</v>
      </c>
      <c r="AG11" s="7">
        <f t="shared" si="17"/>
        <v>8.1018518518518514E-3</v>
      </c>
      <c r="AH11">
        <f t="shared" si="5"/>
        <v>2.9800332981278627E-5</v>
      </c>
      <c r="AI11">
        <f t="shared" si="25"/>
        <v>3.2780366279406489E-6</v>
      </c>
      <c r="AJ11" s="11"/>
      <c r="AK11">
        <v>0.05</v>
      </c>
      <c r="AL11" s="7">
        <f t="shared" si="18"/>
        <v>3.6008230452674902E-3</v>
      </c>
      <c r="AM11">
        <f t="shared" si="7"/>
        <v>3.2921178185457165E-5</v>
      </c>
      <c r="AN11">
        <f t="shared" si="19"/>
        <v>4.4772802332221751E-6</v>
      </c>
      <c r="AO11" s="11"/>
      <c r="AP11">
        <v>2.5000000000000001E-2</v>
      </c>
      <c r="AQ11" s="7">
        <f t="shared" si="20"/>
        <v>9.0020576131687256E-4</v>
      </c>
      <c r="AR11">
        <f t="shared" si="8"/>
        <v>3.4793685307964284E-5</v>
      </c>
      <c r="AS11">
        <f t="shared" si="21"/>
        <v>4.9059096284229639E-6</v>
      </c>
      <c r="AT11" s="11"/>
      <c r="AU11">
        <v>1E-3</v>
      </c>
      <c r="AV11" s="7">
        <f t="shared" si="22"/>
        <v>1.440329218106996E-6</v>
      </c>
      <c r="AW11" s="10">
        <f t="shared" si="9"/>
        <v>3.541685567833466E-5</v>
      </c>
      <c r="AX11" s="10">
        <f t="shared" si="23"/>
        <v>3.7896035575818085E-6</v>
      </c>
      <c r="AZ11">
        <f t="shared" si="24"/>
        <v>1.372003845287994E-3</v>
      </c>
      <c r="BB11" s="47">
        <v>56.23</v>
      </c>
      <c r="BD11"/>
    </row>
    <row r="12" spans="1:56" x14ac:dyDescent="0.25">
      <c r="A12" s="4">
        <v>1.8</v>
      </c>
      <c r="B12" s="5">
        <v>63.095999999999997</v>
      </c>
      <c r="C12" s="5">
        <v>12.977</v>
      </c>
      <c r="D12" s="5"/>
      <c r="G12" s="18">
        <v>0.124</v>
      </c>
      <c r="I12" s="11" t="s">
        <v>18</v>
      </c>
      <c r="J12" s="11">
        <f>SUM(J4:J11)</f>
        <v>2.262</v>
      </c>
      <c r="L12" s="26"/>
      <c r="M12" s="26"/>
      <c r="N12" s="26"/>
      <c r="O12" s="48">
        <v>0</v>
      </c>
      <c r="P12" s="17"/>
      <c r="Q12"/>
      <c r="R12"/>
      <c r="S12"/>
      <c r="T12" s="46">
        <v>0</v>
      </c>
      <c r="U12" s="11"/>
      <c r="Y12" s="46">
        <f>SUM(Y10:Y11)</f>
        <v>3.6025800175751013E-6</v>
      </c>
      <c r="Z12" s="11"/>
      <c r="AD12" s="46">
        <f>SUM(AD6:AD11)</f>
        <v>2.6970721019487924E-5</v>
      </c>
      <c r="AE12" s="11"/>
      <c r="AI12" s="46">
        <f>SUM(AI4:AI11)</f>
        <v>2.5782529654654101E-5</v>
      </c>
      <c r="AJ12" s="11"/>
      <c r="AN12" s="46">
        <f>SUM(AN4:AN11)</f>
        <v>4.6975928782334282E-5</v>
      </c>
      <c r="AO12" s="11"/>
      <c r="AS12" s="46">
        <f>SUM(AS4:AS11)</f>
        <v>5.8095666809346189E-5</v>
      </c>
      <c r="AT12" s="11"/>
      <c r="AX12" s="93">
        <f>SUM(AX4:AX11)</f>
        <v>4.645890773901323E-5</v>
      </c>
      <c r="AY12" s="11" t="s">
        <v>89</v>
      </c>
      <c r="AZ12" s="55">
        <f>SUM(AZ4:AZ11)</f>
        <v>5.8831138045777678E-3</v>
      </c>
      <c r="BA12" s="119" t="s">
        <v>154</v>
      </c>
      <c r="BB12" s="87"/>
      <c r="BD12"/>
    </row>
    <row r="13" spans="1:56" x14ac:dyDescent="0.25">
      <c r="F13" t="s">
        <v>52</v>
      </c>
      <c r="G13" t="s">
        <v>56</v>
      </c>
      <c r="L13" s="26"/>
      <c r="M13" s="26"/>
      <c r="N13" s="26"/>
      <c r="O13" s="48">
        <v>0</v>
      </c>
      <c r="P13" s="17"/>
      <c r="Q13"/>
      <c r="R13"/>
      <c r="S13"/>
      <c r="T13" s="46">
        <v>0</v>
      </c>
      <c r="U13" s="11"/>
      <c r="Y13" s="25">
        <f>100*Y12/$AZ$13</f>
        <v>1.7329566344590652</v>
      </c>
      <c r="AD13" s="25">
        <f>100*AD12/$AZ$13</f>
        <v>12.97378259437698</v>
      </c>
      <c r="AE13" s="11"/>
      <c r="AI13" s="25">
        <f>100*AI12/$AZ$13</f>
        <v>12.402224405898014</v>
      </c>
      <c r="AJ13" s="11"/>
      <c r="AN13" s="25">
        <f>100*AN12/$AZ$13</f>
        <v>22.596929713172067</v>
      </c>
      <c r="AO13" s="25"/>
      <c r="AS13" s="25">
        <f>100*AS12/$AZ$13</f>
        <v>27.945880657592092</v>
      </c>
      <c r="AT13" s="11"/>
      <c r="AW13" t="s">
        <v>92</v>
      </c>
      <c r="AX13" s="92">
        <f>100*AX12/$AZ$13</f>
        <v>22.348225994501789</v>
      </c>
      <c r="AY13" s="11" t="s">
        <v>90</v>
      </c>
      <c r="AZ13" s="82">
        <f>O12+T12+Y12+AD12+AI12+AN12+AS12+AX12</f>
        <v>2.0788633402241081E-4</v>
      </c>
      <c r="BA13" s="106">
        <f>AZ12/AZ13</f>
        <v>28.29966593159293</v>
      </c>
      <c r="BB13" s="87" t="s">
        <v>91</v>
      </c>
      <c r="BD13"/>
    </row>
    <row r="14" spans="1:56" s="25" customFormat="1" x14ac:dyDescent="0.25">
      <c r="E14" s="34"/>
      <c r="O14" s="26"/>
      <c r="AL14" s="5"/>
    </row>
    <row r="15" spans="1:56" s="25" customFormat="1" x14ac:dyDescent="0.25">
      <c r="A15" s="108" t="s">
        <v>1</v>
      </c>
      <c r="B15" s="108"/>
      <c r="C15" s="108"/>
      <c r="D15" s="89"/>
      <c r="E15" s="99" t="s">
        <v>136</v>
      </c>
      <c r="K15" s="11"/>
      <c r="N15" s="94" t="s">
        <v>128</v>
      </c>
      <c r="O15" s="25">
        <v>2.1000000000000001E-2</v>
      </c>
      <c r="P15" s="11"/>
      <c r="S15" s="94" t="s">
        <v>127</v>
      </c>
      <c r="T15" s="25">
        <v>8.3000000000000004E-2</v>
      </c>
      <c r="W15" s="1"/>
      <c r="X15" s="96" t="s">
        <v>123</v>
      </c>
      <c r="Y15" s="25">
        <v>0.17199999999999999</v>
      </c>
      <c r="AC15" s="94" t="s">
        <v>126</v>
      </c>
      <c r="AD15" s="25">
        <v>0.22500000000000001</v>
      </c>
      <c r="AH15" s="95" t="s">
        <v>122</v>
      </c>
      <c r="AI15" s="25">
        <v>0.11</v>
      </c>
      <c r="AM15" s="94" t="s">
        <v>121</v>
      </c>
      <c r="AN15" s="25">
        <v>0.13600000000000001</v>
      </c>
      <c r="AR15" s="94" t="s">
        <v>120</v>
      </c>
      <c r="AS15" s="25">
        <v>0.14099999999999999</v>
      </c>
      <c r="AW15" s="25" t="s">
        <v>116</v>
      </c>
      <c r="AX15" s="25">
        <v>0.107</v>
      </c>
      <c r="AZ15" s="25">
        <f>O15+T15+Y15+AD15+AI15+AN15+AS15+AX15</f>
        <v>0.995</v>
      </c>
    </row>
    <row r="16" spans="1:56" s="25" customFormat="1" ht="48.75" x14ac:dyDescent="0.4">
      <c r="A16" s="89" t="s">
        <v>2</v>
      </c>
      <c r="B16" s="3" t="s">
        <v>3</v>
      </c>
      <c r="C16" s="89" t="s">
        <v>4</v>
      </c>
      <c r="D16" s="9" t="s">
        <v>14</v>
      </c>
      <c r="E16" s="6" t="s">
        <v>9</v>
      </c>
      <c r="F16" s="44" t="s">
        <v>24</v>
      </c>
      <c r="G16" s="16" t="s">
        <v>49</v>
      </c>
      <c r="H16" s="6" t="s">
        <v>16</v>
      </c>
      <c r="I16" s="6" t="s">
        <v>15</v>
      </c>
      <c r="J16" s="6" t="s">
        <v>17</v>
      </c>
      <c r="K16" s="11"/>
      <c r="L16" s="34" t="s">
        <v>22</v>
      </c>
      <c r="M16" s="35" t="s">
        <v>23</v>
      </c>
      <c r="N16" s="36" t="s">
        <v>25</v>
      </c>
      <c r="O16" s="36" t="s">
        <v>86</v>
      </c>
      <c r="P16" s="17"/>
      <c r="Q16" s="6" t="s">
        <v>22</v>
      </c>
      <c r="R16" s="14" t="s">
        <v>23</v>
      </c>
      <c r="S16" s="8" t="s">
        <v>25</v>
      </c>
      <c r="T16" s="36" t="s">
        <v>86</v>
      </c>
      <c r="U16" s="11"/>
      <c r="V16" t="s">
        <v>28</v>
      </c>
      <c r="W16" s="14" t="s">
        <v>23</v>
      </c>
      <c r="X16" s="8" t="s">
        <v>25</v>
      </c>
      <c r="Y16" s="36" t="s">
        <v>86</v>
      </c>
      <c r="Z16" s="11"/>
      <c r="AA16" t="s">
        <v>28</v>
      </c>
      <c r="AB16" s="14" t="s">
        <v>23</v>
      </c>
      <c r="AC16" s="8" t="s">
        <v>25</v>
      </c>
      <c r="AD16" s="36" t="s">
        <v>86</v>
      </c>
      <c r="AE16" s="11"/>
      <c r="AF16" s="1" t="s">
        <v>28</v>
      </c>
      <c r="AG16" s="15" t="s">
        <v>29</v>
      </c>
      <c r="AH16" s="16" t="s">
        <v>25</v>
      </c>
      <c r="AI16" s="36" t="s">
        <v>86</v>
      </c>
      <c r="AJ16" s="11"/>
      <c r="AK16" s="1" t="s">
        <v>28</v>
      </c>
      <c r="AL16" s="15" t="s">
        <v>29</v>
      </c>
      <c r="AM16" s="16" t="s">
        <v>25</v>
      </c>
      <c r="AN16" s="36" t="s">
        <v>86</v>
      </c>
      <c r="AO16" s="11"/>
      <c r="AP16" s="1" t="s">
        <v>28</v>
      </c>
      <c r="AQ16" s="15" t="s">
        <v>29</v>
      </c>
      <c r="AR16" s="16" t="s">
        <v>25</v>
      </c>
      <c r="AS16" s="36" t="s">
        <v>86</v>
      </c>
      <c r="AT16" s="11"/>
      <c r="AU16" s="1" t="s">
        <v>28</v>
      </c>
      <c r="AV16" s="15" t="s">
        <v>29</v>
      </c>
      <c r="AW16" s="16" t="s">
        <v>25</v>
      </c>
      <c r="AX16" s="36" t="s">
        <v>86</v>
      </c>
      <c r="AY16" s="11"/>
      <c r="AZ16" t="s">
        <v>88</v>
      </c>
      <c r="BA16"/>
      <c r="BB16" t="s">
        <v>87</v>
      </c>
    </row>
    <row r="17" spans="1:54" s="25" customFormat="1" x14ac:dyDescent="0.25">
      <c r="A17" s="4">
        <v>1</v>
      </c>
      <c r="B17" s="5">
        <v>10</v>
      </c>
      <c r="C17" s="4"/>
      <c r="D17" s="27">
        <f>(B17*B18)^0.5</f>
        <v>11.220071301021219</v>
      </c>
      <c r="E17" s="6" t="s">
        <v>8</v>
      </c>
      <c r="F17" s="45">
        <f>0.065*1600*9.8*B17/1000000</f>
        <v>1.0192E-2</v>
      </c>
      <c r="G17" s="18">
        <v>4.5999999999999999E-2</v>
      </c>
      <c r="H17" s="10">
        <f t="shared" ref="H17:H24" si="27">1600*9.8*(D17/1000000)^2/(18*0.0014)</f>
        <v>7.8331555555555585E-5</v>
      </c>
      <c r="I17" s="7">
        <f>100*H17</f>
        <v>7.8331555555555578E-3</v>
      </c>
      <c r="J17" s="1">
        <v>1</v>
      </c>
      <c r="K17" s="11"/>
      <c r="L17" s="26">
        <v>0.25</v>
      </c>
      <c r="M17" s="7">
        <f>1050*(0.4*L17/10.3)^2</f>
        <v>9.8972570459044187E-2</v>
      </c>
      <c r="N17" s="52">
        <f t="shared" ref="N17:N24" si="28">J17*H17*(1-M17/F17)</f>
        <v>-6.823312585524467E-4</v>
      </c>
      <c r="O17" s="26">
        <v>0</v>
      </c>
      <c r="P17" s="17"/>
      <c r="Q17">
        <v>0.2</v>
      </c>
      <c r="R17" s="7">
        <f>1050*(Q17/27)^2</f>
        <v>5.7613168724279844E-2</v>
      </c>
      <c r="S17" s="52">
        <f t="shared" ref="S17:S24" si="29">J17*H17*(1-R17/F17)</f>
        <v>-3.6445976377897385E-4</v>
      </c>
      <c r="T17">
        <v>0</v>
      </c>
      <c r="U17" s="11"/>
      <c r="V17">
        <v>0.15</v>
      </c>
      <c r="W17" s="7">
        <f>1050*(V17/27)^2</f>
        <v>3.2407407407407406E-2</v>
      </c>
      <c r="X17" s="52">
        <f t="shared" ref="X17:X24" si="30">J17*H17*(1-W17/F17)</f>
        <v>-1.7073856157011718E-4</v>
      </c>
      <c r="Y17">
        <v>0</v>
      </c>
      <c r="Z17" s="11"/>
      <c r="AA17">
        <v>0.1</v>
      </c>
      <c r="AB17" s="7">
        <f>1050*(AA17/27)^2</f>
        <v>1.4403292181069961E-2</v>
      </c>
      <c r="AC17" s="10">
        <f t="shared" ref="AC17:AC24" si="31">J17*H17*(1-AB17/F17)</f>
        <v>-3.2366274278076774E-5</v>
      </c>
      <c r="AD17">
        <v>0</v>
      </c>
      <c r="AE17" s="11"/>
      <c r="AF17">
        <v>7.4999999999999997E-2</v>
      </c>
      <c r="AG17" s="7">
        <f>1050*(AF17/27)^2</f>
        <v>8.1018518518518514E-3</v>
      </c>
      <c r="AH17">
        <f t="shared" ref="AH17:AH24" si="32">J17*H17*(1-AG17/F17)</f>
        <v>1.6064026274137394E-5</v>
      </c>
      <c r="AI17">
        <f t="shared" ref="AI17:AI18" si="33">AH17*$AI$2</f>
        <v>1.7670428901551133E-6</v>
      </c>
      <c r="AJ17" s="11"/>
      <c r="AK17">
        <v>0.05</v>
      </c>
      <c r="AL17" s="7">
        <f>1050*(AK17/27)^2</f>
        <v>3.6008230452674902E-3</v>
      </c>
      <c r="AM17">
        <f t="shared" ref="AM17:AM24" si="34">J17*H17*(1-AL17/F17)</f>
        <v>5.0657098097147497E-5</v>
      </c>
      <c r="AN17">
        <f>AM17*$AN$2</f>
        <v>6.8893653412120598E-6</v>
      </c>
      <c r="AO17" s="11"/>
      <c r="AP17">
        <v>2.5000000000000001E-2</v>
      </c>
      <c r="AQ17" s="7">
        <f>1050*(AP17/27)^2</f>
        <v>9.0020576131687256E-4</v>
      </c>
      <c r="AR17">
        <f t="shared" ref="AR17:AR24" si="35">J17*H17*(1-AQ17/F17)</f>
        <v>7.141294119095357E-5</v>
      </c>
      <c r="AS17">
        <f>AR17*$AS$2</f>
        <v>1.0069224707924453E-5</v>
      </c>
      <c r="AT17" s="11"/>
      <c r="AU17">
        <v>1E-3</v>
      </c>
      <c r="AV17" s="7">
        <f>1050*(AU17/27)^2</f>
        <v>1.440329218106996E-6</v>
      </c>
      <c r="AW17" s="10">
        <f t="shared" ref="AW17:AW24" si="36">J17*H17*(1-AV17/F17)</f>
        <v>7.8320485772572228E-5</v>
      </c>
      <c r="AX17" s="10">
        <f>AW17*$AX$2</f>
        <v>8.3802919776652284E-6</v>
      </c>
      <c r="AY17" s="11"/>
      <c r="AZ17">
        <f>(O17+T17+Y17+AD17+AI17+AN17+AS17+AX17)*BB17</f>
        <v>3.0412847756825591E-4</v>
      </c>
      <c r="BA17"/>
      <c r="BB17" s="47">
        <v>11.22</v>
      </c>
    </row>
    <row r="18" spans="1:54" s="25" customFormat="1" x14ac:dyDescent="0.25">
      <c r="A18" s="4">
        <v>1.1000000000000001</v>
      </c>
      <c r="B18" s="5">
        <v>12.589</v>
      </c>
      <c r="C18" s="5">
        <v>2.589</v>
      </c>
      <c r="D18" s="27">
        <f t="shared" ref="D18:D24" si="37">(B18*B19)^0.5</f>
        <v>14.125263218786403</v>
      </c>
      <c r="E18" s="6" t="s">
        <v>5</v>
      </c>
      <c r="F18" s="45">
        <f t="shared" ref="F18:F24" si="38">0.065*1600*9.8*B18/1000000</f>
        <v>1.28307088E-2</v>
      </c>
      <c r="G18" s="18">
        <v>5.1999999999999998E-2</v>
      </c>
      <c r="H18" s="10">
        <f t="shared" si="27"/>
        <v>1.2414768240000002E-4</v>
      </c>
      <c r="I18" s="7">
        <f t="shared" ref="I18:I24" si="39">100*H18</f>
        <v>1.2414768240000002E-2</v>
      </c>
      <c r="J18" s="18">
        <v>0.56200000000000006</v>
      </c>
      <c r="K18" s="11"/>
      <c r="L18" s="26">
        <v>0.25</v>
      </c>
      <c r="M18" s="7">
        <f t="shared" ref="M18:M24" si="40">1050*(0.4*L18/10.3)^2</f>
        <v>9.8972570459044187E-2</v>
      </c>
      <c r="N18" s="52">
        <f t="shared" si="28"/>
        <v>-4.6842335126618789E-4</v>
      </c>
      <c r="O18" s="26">
        <v>0</v>
      </c>
      <c r="P18" s="17"/>
      <c r="Q18">
        <v>0.2</v>
      </c>
      <c r="R18" s="7">
        <f t="shared" ref="R18:R24" si="41">1050*(Q18/27)^2</f>
        <v>5.7613168724279844E-2</v>
      </c>
      <c r="S18" s="52">
        <f t="shared" si="29"/>
        <v>-2.4351865111418207E-4</v>
      </c>
      <c r="T18">
        <v>0</v>
      </c>
      <c r="U18" s="11"/>
      <c r="V18">
        <v>0.15</v>
      </c>
      <c r="W18" s="7">
        <f t="shared" ref="W18:W24" si="42">1050*(V18/27)^2</f>
        <v>3.2407407407407406E-2</v>
      </c>
      <c r="X18" s="52">
        <f t="shared" si="30"/>
        <v>-1.0645442984162739E-4</v>
      </c>
      <c r="Y18">
        <v>0</v>
      </c>
      <c r="Z18" s="11"/>
      <c r="AA18">
        <v>0.1</v>
      </c>
      <c r="AB18" s="7">
        <f t="shared" ref="AB18:AB24" si="43">1050*(AA18/27)^2</f>
        <v>1.4403292181069961E-2</v>
      </c>
      <c r="AC18" s="10">
        <f t="shared" si="31"/>
        <v>-8.5514146469455005E-6</v>
      </c>
      <c r="AD18">
        <v>0</v>
      </c>
      <c r="AE18" s="11"/>
      <c r="AF18">
        <v>7.4999999999999997E-2</v>
      </c>
      <c r="AG18" s="7">
        <f t="shared" ref="AG18:AG24" si="44">1050*(AF18/27)^2</f>
        <v>8.1018518518518514E-3</v>
      </c>
      <c r="AH18">
        <f t="shared" si="32"/>
        <v>2.5714640671193172E-5</v>
      </c>
      <c r="AI18">
        <f t="shared" si="33"/>
        <v>2.828610473831249E-6</v>
      </c>
      <c r="AJ18" s="11"/>
      <c r="AK18">
        <v>0.05</v>
      </c>
      <c r="AL18" s="7">
        <f t="shared" ref="AL18:AL24" si="45">1050*(AK18/27)^2</f>
        <v>3.6008230452674902E-3</v>
      </c>
      <c r="AM18">
        <f t="shared" si="34"/>
        <v>5.0190394469863647E-5</v>
      </c>
      <c r="AN18">
        <f t="shared" ref="AN18:AN23" si="46">AM18*$AN$2</f>
        <v>6.8258936479014562E-6</v>
      </c>
      <c r="AO18" s="11"/>
      <c r="AP18">
        <v>2.5000000000000001E-2</v>
      </c>
      <c r="AQ18" s="7">
        <f t="shared" ref="AQ18:AQ24" si="47">1050*(AP18/27)^2</f>
        <v>9.0020576131687256E-4</v>
      </c>
      <c r="AR18">
        <f t="shared" si="35"/>
        <v>6.4875846749065929E-5</v>
      </c>
      <c r="AS18">
        <f t="shared" ref="AS18:AS23" si="48">AR18*$AS$2</f>
        <v>9.1474943916182957E-6</v>
      </c>
      <c r="AT18" s="11"/>
      <c r="AU18">
        <v>1E-3</v>
      </c>
      <c r="AV18" s="7">
        <f t="shared" ref="AV18:AV24" si="49">1050*(AU18/27)^2</f>
        <v>1.440329218106996E-6</v>
      </c>
      <c r="AW18" s="10">
        <f t="shared" si="36"/>
        <v>6.9763165267584451E-5</v>
      </c>
      <c r="AX18" s="10">
        <f t="shared" ref="AX18:AX23" si="50">AW18*$AX$2</f>
        <v>7.4646586836315359E-6</v>
      </c>
      <c r="AY18" s="11"/>
      <c r="AZ18">
        <f t="shared" ref="AZ18:AZ24" si="51">(O18+T18+Y18+AD18+AI18+AN18+AS18+AX18)*BB18</f>
        <v>3.7114786619336324E-4</v>
      </c>
      <c r="BA18"/>
      <c r="BB18" s="47">
        <v>14.13</v>
      </c>
    </row>
    <row r="19" spans="1:54" s="25" customFormat="1" x14ac:dyDescent="0.25">
      <c r="A19" s="4">
        <v>1.2</v>
      </c>
      <c r="B19" s="5">
        <v>15.849</v>
      </c>
      <c r="C19" s="5">
        <v>3.26</v>
      </c>
      <c r="D19" s="27">
        <f t="shared" si="37"/>
        <v>17.783000224933925</v>
      </c>
      <c r="E19" s="6" t="s">
        <v>6</v>
      </c>
      <c r="F19" s="45">
        <f t="shared" si="38"/>
        <v>1.6153300799999999E-2</v>
      </c>
      <c r="G19" s="18">
        <v>5.8999999999999997E-2</v>
      </c>
      <c r="H19" s="10">
        <f t="shared" si="27"/>
        <v>1.9676850480000003E-4</v>
      </c>
      <c r="I19" s="7">
        <f t="shared" si="39"/>
        <v>1.9676850480000004E-2</v>
      </c>
      <c r="J19" s="18">
        <v>0.316</v>
      </c>
      <c r="K19" s="11"/>
      <c r="L19" s="26">
        <v>0.25</v>
      </c>
      <c r="M19" s="7">
        <f t="shared" si="40"/>
        <v>9.8972570459044187E-2</v>
      </c>
      <c r="N19" s="52">
        <f t="shared" si="28"/>
        <v>-3.1879594166799957E-4</v>
      </c>
      <c r="O19" s="26">
        <v>0</v>
      </c>
      <c r="P19" s="17"/>
      <c r="Q19">
        <v>0.2</v>
      </c>
      <c r="R19" s="7">
        <f t="shared" si="41"/>
        <v>5.7613168724279844E-2</v>
      </c>
      <c r="S19" s="52">
        <f t="shared" si="29"/>
        <v>-1.5959133292004719E-4</v>
      </c>
      <c r="T19">
        <v>0</v>
      </c>
      <c r="U19" s="11"/>
      <c r="V19">
        <v>0.15</v>
      </c>
      <c r="W19" s="7">
        <f t="shared" si="42"/>
        <v>3.2407407407407406E-2</v>
      </c>
      <c r="X19" s="52">
        <f t="shared" si="30"/>
        <v>-6.2566878978926506E-5</v>
      </c>
      <c r="Y19">
        <v>0</v>
      </c>
      <c r="Z19" s="11"/>
      <c r="AA19">
        <v>0.1</v>
      </c>
      <c r="AB19" s="7">
        <f t="shared" si="43"/>
        <v>1.4403292181069961E-2</v>
      </c>
      <c r="AC19">
        <f t="shared" si="31"/>
        <v>6.7363024075882154E-6</v>
      </c>
      <c r="AD19">
        <f>AC19*$AD$2</f>
        <v>1.5156680417073485E-6</v>
      </c>
      <c r="AE19" s="11"/>
      <c r="AF19">
        <v>7.4999999999999997E-2</v>
      </c>
      <c r="AG19" s="7">
        <f t="shared" si="44"/>
        <v>8.1018518518518514E-3</v>
      </c>
      <c r="AH19">
        <f t="shared" si="32"/>
        <v>3.0992415892868386E-5</v>
      </c>
      <c r="AI19">
        <f>AH19*$AI$2</f>
        <v>3.4091657482155226E-6</v>
      </c>
      <c r="AJ19" s="11"/>
      <c r="AK19">
        <v>0.05</v>
      </c>
      <c r="AL19" s="7">
        <f t="shared" si="45"/>
        <v>3.6008230452674902E-3</v>
      </c>
      <c r="AM19">
        <f t="shared" si="34"/>
        <v>4.8318211239497066E-5</v>
      </c>
      <c r="AN19">
        <f t="shared" si="46"/>
        <v>6.5712767285716011E-6</v>
      </c>
      <c r="AO19" s="11"/>
      <c r="AP19">
        <v>2.5000000000000001E-2</v>
      </c>
      <c r="AQ19" s="7">
        <f t="shared" si="47"/>
        <v>9.0020576131687256E-4</v>
      </c>
      <c r="AR19">
        <f t="shared" si="35"/>
        <v>5.8713688447474272E-5</v>
      </c>
      <c r="AS19">
        <f t="shared" si="48"/>
        <v>8.2786300710938717E-6</v>
      </c>
      <c r="AT19" s="11"/>
      <c r="AU19">
        <v>1E-3</v>
      </c>
      <c r="AV19" s="7">
        <f t="shared" si="49"/>
        <v>1.440329218106996E-6</v>
      </c>
      <c r="AW19" s="10">
        <f t="shared" si="36"/>
        <v>6.217330326228909E-5</v>
      </c>
      <c r="AX19" s="10">
        <f t="shared" si="50"/>
        <v>6.6525434490649325E-6</v>
      </c>
      <c r="AY19" s="11"/>
      <c r="AZ19">
        <f t="shared" si="51"/>
        <v>4.6987711020725532E-4</v>
      </c>
      <c r="BA19"/>
      <c r="BB19" s="47">
        <v>17.78</v>
      </c>
    </row>
    <row r="20" spans="1:54" s="25" customFormat="1" x14ac:dyDescent="0.25">
      <c r="A20" s="4">
        <v>1.3</v>
      </c>
      <c r="B20" s="5">
        <v>19.952999999999999</v>
      </c>
      <c r="C20" s="5">
        <v>4.1040000000000001</v>
      </c>
      <c r="D20" s="27">
        <f t="shared" si="37"/>
        <v>22.387483266325404</v>
      </c>
      <c r="E20" s="6" t="s">
        <v>7</v>
      </c>
      <c r="F20" s="45">
        <f t="shared" si="38"/>
        <v>2.0336097600000002E-2</v>
      </c>
      <c r="G20" s="18">
        <v>6.6000000000000003E-2</v>
      </c>
      <c r="H20" s="10">
        <f t="shared" si="27"/>
        <v>3.118574088E-4</v>
      </c>
      <c r="I20" s="7">
        <f t="shared" si="39"/>
        <v>3.118574088E-2</v>
      </c>
      <c r="J20" s="18">
        <v>0.17799999999999999</v>
      </c>
      <c r="K20" s="11"/>
      <c r="L20" s="26">
        <v>0.25</v>
      </c>
      <c r="M20" s="7">
        <f t="shared" si="40"/>
        <v>9.8972570459044187E-2</v>
      </c>
      <c r="N20" s="52">
        <f t="shared" si="28"/>
        <v>-2.1465078265619464E-4</v>
      </c>
      <c r="O20" s="26">
        <v>0</v>
      </c>
      <c r="P20" s="17"/>
      <c r="Q20">
        <v>0.2</v>
      </c>
      <c r="R20" s="7">
        <f t="shared" si="41"/>
        <v>5.7613168724279844E-2</v>
      </c>
      <c r="S20" s="52">
        <f t="shared" si="29"/>
        <v>-1.0175370538681305E-4</v>
      </c>
      <c r="T20">
        <v>0</v>
      </c>
      <c r="U20" s="11"/>
      <c r="V20">
        <v>0.15</v>
      </c>
      <c r="W20" s="7">
        <f t="shared" si="42"/>
        <v>3.2407407407407406E-2</v>
      </c>
      <c r="X20" s="52">
        <f t="shared" si="30"/>
        <v>-3.2950563569782321E-5</v>
      </c>
      <c r="Y20">
        <v>0</v>
      </c>
      <c r="Z20" s="11"/>
      <c r="AA20">
        <v>0.1</v>
      </c>
      <c r="AB20" s="7">
        <f t="shared" si="43"/>
        <v>1.4403292181069961E-2</v>
      </c>
      <c r="AC20">
        <f t="shared" si="31"/>
        <v>1.6194537728096738E-5</v>
      </c>
      <c r="AD20">
        <f>AC20*$AD$2</f>
        <v>3.6437709888217663E-6</v>
      </c>
      <c r="AE20" s="11"/>
      <c r="AF20">
        <v>7.4999999999999997E-2</v>
      </c>
      <c r="AG20" s="7">
        <f t="shared" si="44"/>
        <v>8.1018518518518514E-3</v>
      </c>
      <c r="AH20">
        <f t="shared" si="32"/>
        <v>3.3395323182354415E-5</v>
      </c>
      <c r="AI20">
        <f t="shared" ref="AI20:AI23" si="52">AH20*$AI$2</f>
        <v>3.6734855500589856E-6</v>
      </c>
      <c r="AJ20" s="11"/>
      <c r="AK20">
        <v>0.05</v>
      </c>
      <c r="AL20" s="7">
        <f t="shared" si="45"/>
        <v>3.6008230452674902E-3</v>
      </c>
      <c r="AM20">
        <f t="shared" si="34"/>
        <v>4.5681598506824184E-5</v>
      </c>
      <c r="AN20">
        <f t="shared" si="46"/>
        <v>6.2126973969280899E-6</v>
      </c>
      <c r="AO20" s="11"/>
      <c r="AP20">
        <v>2.5000000000000001E-2</v>
      </c>
      <c r="AQ20" s="7">
        <f t="shared" si="47"/>
        <v>9.0020576131687256E-4</v>
      </c>
      <c r="AR20">
        <f t="shared" si="35"/>
        <v>5.3053363701506041E-5</v>
      </c>
      <c r="AS20">
        <f t="shared" si="48"/>
        <v>7.4805242819123511E-6</v>
      </c>
      <c r="AT20" s="11"/>
      <c r="AU20">
        <v>1E-3</v>
      </c>
      <c r="AV20" s="7">
        <f t="shared" si="49"/>
        <v>1.440329218106996E-6</v>
      </c>
      <c r="AW20" s="10">
        <f t="shared" si="36"/>
        <v>5.5506687158296166E-5</v>
      </c>
      <c r="AX20" s="10">
        <f t="shared" si="50"/>
        <v>5.9392155259376893E-6</v>
      </c>
      <c r="AY20" s="11"/>
      <c r="AZ20">
        <f t="shared" si="51"/>
        <v>6.0340364292052234E-4</v>
      </c>
      <c r="BA20"/>
      <c r="BB20" s="47">
        <v>22.39</v>
      </c>
    </row>
    <row r="21" spans="1:54" s="25" customFormat="1" x14ac:dyDescent="0.25">
      <c r="A21" s="4">
        <v>1.4</v>
      </c>
      <c r="B21" s="5">
        <v>25.119</v>
      </c>
      <c r="C21" s="5">
        <v>5.1660000000000004</v>
      </c>
      <c r="D21" s="27">
        <f t="shared" si="37"/>
        <v>28.184004985097488</v>
      </c>
      <c r="E21" s="6" t="s">
        <v>10</v>
      </c>
      <c r="F21" s="45">
        <f t="shared" si="38"/>
        <v>2.5601284800000002E-2</v>
      </c>
      <c r="G21" s="18">
        <v>7.4999999999999997E-2</v>
      </c>
      <c r="H21" s="10">
        <f t="shared" si="27"/>
        <v>4.9425484080000011E-4</v>
      </c>
      <c r="I21" s="7">
        <f t="shared" si="39"/>
        <v>4.9425484080000012E-2</v>
      </c>
      <c r="J21" s="18">
        <v>0.1</v>
      </c>
      <c r="K21" s="11"/>
      <c r="L21" s="26">
        <v>0.25</v>
      </c>
      <c r="M21" s="7">
        <f t="shared" si="40"/>
        <v>9.8972570459044187E-2</v>
      </c>
      <c r="N21" s="52">
        <f t="shared" si="28"/>
        <v>-1.4164958280805582E-4</v>
      </c>
      <c r="O21" s="26">
        <v>0</v>
      </c>
      <c r="P21" s="17"/>
      <c r="Q21">
        <v>0.2</v>
      </c>
      <c r="R21" s="7">
        <f t="shared" si="41"/>
        <v>5.7613168724279844E-2</v>
      </c>
      <c r="S21" s="52">
        <f t="shared" si="29"/>
        <v>-6.1801697517551978E-5</v>
      </c>
      <c r="T21">
        <v>0</v>
      </c>
      <c r="U21" s="11"/>
      <c r="V21">
        <v>0.15</v>
      </c>
      <c r="W21" s="7">
        <f t="shared" si="42"/>
        <v>3.2407407407407406E-2</v>
      </c>
      <c r="X21" s="52">
        <f t="shared" si="30"/>
        <v>-1.3139805568622975E-5</v>
      </c>
      <c r="Y21">
        <v>0</v>
      </c>
      <c r="Z21" s="11"/>
      <c r="AA21">
        <v>0.1</v>
      </c>
      <c r="AB21" s="7">
        <f t="shared" si="43"/>
        <v>1.4403292181069961E-2</v>
      </c>
      <c r="AC21">
        <f t="shared" si="31"/>
        <v>2.1618688680612014E-5</v>
      </c>
      <c r="AD21">
        <f t="shared" ref="AD21:AD23" si="53">AC21*$AD$2</f>
        <v>4.8642049531377034E-6</v>
      </c>
      <c r="AE21" s="11"/>
      <c r="AF21">
        <v>7.4999999999999997E-2</v>
      </c>
      <c r="AG21" s="7">
        <f t="shared" si="44"/>
        <v>8.1018518518518514E-3</v>
      </c>
      <c r="AH21">
        <f t="shared" si="32"/>
        <v>3.3784161667844267E-5</v>
      </c>
      <c r="AI21">
        <f t="shared" si="52"/>
        <v>3.7162577834628694E-6</v>
      </c>
      <c r="AJ21" s="11"/>
      <c r="AK21">
        <v>0.05</v>
      </c>
      <c r="AL21" s="7">
        <f t="shared" si="45"/>
        <v>3.6008230452674902E-3</v>
      </c>
      <c r="AM21">
        <f t="shared" si="34"/>
        <v>4.2473785230153013E-5</v>
      </c>
      <c r="AN21">
        <f t="shared" si="46"/>
        <v>5.7764347913008102E-6</v>
      </c>
      <c r="AO21" s="11"/>
      <c r="AP21">
        <v>2.5000000000000001E-2</v>
      </c>
      <c r="AQ21" s="7">
        <f t="shared" si="47"/>
        <v>9.0020576131687256E-4</v>
      </c>
      <c r="AR21">
        <f t="shared" si="35"/>
        <v>4.7687559367538263E-5</v>
      </c>
      <c r="AS21">
        <f t="shared" si="48"/>
        <v>6.7239458708228949E-6</v>
      </c>
      <c r="AT21" s="11"/>
      <c r="AU21">
        <v>1E-3</v>
      </c>
      <c r="AV21" s="7">
        <f t="shared" si="49"/>
        <v>1.440329218106996E-6</v>
      </c>
      <c r="AW21" s="10">
        <f t="shared" si="36"/>
        <v>4.9422703400460073E-5</v>
      </c>
      <c r="AX21" s="10">
        <f t="shared" si="50"/>
        <v>5.288229263849228E-6</v>
      </c>
      <c r="AY21" s="11"/>
      <c r="AZ21">
        <f t="shared" si="51"/>
        <v>7.4308046763132138E-4</v>
      </c>
      <c r="BA21"/>
      <c r="BB21" s="47">
        <v>28.18</v>
      </c>
    </row>
    <row r="22" spans="1:54" s="25" customFormat="1" x14ac:dyDescent="0.25">
      <c r="A22" s="4">
        <v>1.5</v>
      </c>
      <c r="B22" s="5">
        <v>31.623000000000001</v>
      </c>
      <c r="C22" s="5">
        <v>6.5039999999999996</v>
      </c>
      <c r="D22" s="27">
        <f t="shared" si="37"/>
        <v>35.481590339216758</v>
      </c>
      <c r="E22" s="6" t="s">
        <v>11</v>
      </c>
      <c r="F22" s="45">
        <f t="shared" si="38"/>
        <v>3.2230161600000001E-2</v>
      </c>
      <c r="G22" s="18">
        <v>8.5000000000000006E-2</v>
      </c>
      <c r="H22" s="10">
        <f t="shared" si="27"/>
        <v>7.8334246853333357E-4</v>
      </c>
      <c r="I22" s="7">
        <f t="shared" si="39"/>
        <v>7.8334246853333359E-2</v>
      </c>
      <c r="J22" s="18">
        <v>5.6000000000000001E-2</v>
      </c>
      <c r="K22" s="11"/>
      <c r="L22" s="26">
        <v>0.25</v>
      </c>
      <c r="M22" s="7">
        <f t="shared" si="40"/>
        <v>9.8972570459044187E-2</v>
      </c>
      <c r="N22" s="52">
        <f t="shared" si="28"/>
        <v>-9.084041159273192E-5</v>
      </c>
      <c r="O22" s="26">
        <v>0</v>
      </c>
      <c r="P22" s="17"/>
      <c r="Q22">
        <v>0.2</v>
      </c>
      <c r="R22" s="7">
        <f t="shared" si="41"/>
        <v>5.7613168724279844E-2</v>
      </c>
      <c r="S22" s="52">
        <f t="shared" si="29"/>
        <v>-3.4547791337596755E-5</v>
      </c>
      <c r="T22">
        <v>0</v>
      </c>
      <c r="U22" s="11"/>
      <c r="V22">
        <v>0.15</v>
      </c>
      <c r="W22" s="7">
        <f t="shared" si="42"/>
        <v>3.2407407407407406E-2</v>
      </c>
      <c r="X22" s="52">
        <f t="shared" si="30"/>
        <v>-2.4124214833149478E-7</v>
      </c>
      <c r="Y22">
        <v>0</v>
      </c>
      <c r="Z22" s="11"/>
      <c r="AA22">
        <v>0.1</v>
      </c>
      <c r="AB22" s="7">
        <f t="shared" si="43"/>
        <v>1.4403292181069961E-2</v>
      </c>
      <c r="AC22">
        <f t="shared" si="31"/>
        <v>2.4263435844000818E-5</v>
      </c>
      <c r="AD22">
        <f t="shared" si="53"/>
        <v>5.4592730649001844E-6</v>
      </c>
      <c r="AE22" s="11"/>
      <c r="AF22">
        <v>7.4999999999999997E-2</v>
      </c>
      <c r="AG22" s="7">
        <f t="shared" si="44"/>
        <v>8.1018518518518514E-3</v>
      </c>
      <c r="AH22">
        <f t="shared" si="32"/>
        <v>3.2840073141317138E-5</v>
      </c>
      <c r="AI22">
        <f t="shared" si="52"/>
        <v>3.6124080455448851E-6</v>
      </c>
      <c r="AJ22" s="11"/>
      <c r="AK22">
        <v>0.05</v>
      </c>
      <c r="AL22" s="7">
        <f t="shared" si="45"/>
        <v>3.6008230452674902E-3</v>
      </c>
      <c r="AM22">
        <f t="shared" si="34"/>
        <v>3.8966242639400216E-5</v>
      </c>
      <c r="AN22">
        <f t="shared" si="46"/>
        <v>5.2994089989584299E-6</v>
      </c>
      <c r="AO22" s="11"/>
      <c r="AP22">
        <v>2.5000000000000001E-2</v>
      </c>
      <c r="AQ22" s="7">
        <f t="shared" si="47"/>
        <v>9.0020576131687256E-4</v>
      </c>
      <c r="AR22">
        <f t="shared" si="35"/>
        <v>4.2641944338250061E-5</v>
      </c>
      <c r="AS22">
        <f t="shared" si="48"/>
        <v>6.0125141516932582E-6</v>
      </c>
      <c r="AT22" s="11"/>
      <c r="AU22">
        <v>1E-3</v>
      </c>
      <c r="AV22" s="7">
        <f t="shared" si="49"/>
        <v>1.440329218106996E-6</v>
      </c>
      <c r="AW22" s="10">
        <f t="shared" si="36"/>
        <v>4.3865217863627293E-5</v>
      </c>
      <c r="AX22" s="10">
        <f t="shared" si="50"/>
        <v>4.69357831140812E-6</v>
      </c>
      <c r="AY22" s="11"/>
      <c r="AZ22">
        <f t="shared" si="51"/>
        <v>8.8973843767247297E-4</v>
      </c>
      <c r="BA22"/>
      <c r="BB22" s="47">
        <v>35.479999999999997</v>
      </c>
    </row>
    <row r="23" spans="1:54" s="25" customFormat="1" x14ac:dyDescent="0.25">
      <c r="A23" s="4">
        <v>1.6</v>
      </c>
      <c r="B23" s="5">
        <v>39.811</v>
      </c>
      <c r="C23" s="5">
        <v>8.1880000000000006</v>
      </c>
      <c r="D23" s="27">
        <f t="shared" si="37"/>
        <v>44.668641226256256</v>
      </c>
      <c r="E23" s="6" t="s">
        <v>12</v>
      </c>
      <c r="F23" s="45">
        <f t="shared" si="38"/>
        <v>4.0575371200000002E-2</v>
      </c>
      <c r="G23" s="18">
        <v>9.7000000000000003E-2</v>
      </c>
      <c r="H23" s="10">
        <f t="shared" si="27"/>
        <v>1.2415122278222224E-3</v>
      </c>
      <c r="I23" s="7">
        <f t="shared" si="39"/>
        <v>0.12415122278222224</v>
      </c>
      <c r="J23" s="18">
        <v>0</v>
      </c>
      <c r="K23" s="11"/>
      <c r="L23" s="26">
        <v>0.25</v>
      </c>
      <c r="M23" s="7">
        <f t="shared" si="40"/>
        <v>9.8972570459044187E-2</v>
      </c>
      <c r="N23" s="52">
        <f t="shared" si="28"/>
        <v>0</v>
      </c>
      <c r="O23" s="26">
        <v>0</v>
      </c>
      <c r="P23" s="17"/>
      <c r="Q23">
        <v>0.2</v>
      </c>
      <c r="R23" s="7">
        <f t="shared" si="41"/>
        <v>5.7613168724279844E-2</v>
      </c>
      <c r="S23" s="52">
        <f t="shared" si="29"/>
        <v>0</v>
      </c>
      <c r="T23">
        <v>0</v>
      </c>
      <c r="U23" s="11"/>
      <c r="V23">
        <v>0.15</v>
      </c>
      <c r="W23" s="7">
        <f t="shared" si="42"/>
        <v>3.2407407407407406E-2</v>
      </c>
      <c r="X23" s="25">
        <f t="shared" si="30"/>
        <v>0</v>
      </c>
      <c r="Y23">
        <f>X23*$Y$2</f>
        <v>0</v>
      </c>
      <c r="Z23" s="11"/>
      <c r="AA23">
        <v>0.1</v>
      </c>
      <c r="AB23" s="7">
        <f t="shared" si="43"/>
        <v>1.4403292181069961E-2</v>
      </c>
      <c r="AC23">
        <f t="shared" si="31"/>
        <v>0</v>
      </c>
      <c r="AD23">
        <f t="shared" si="53"/>
        <v>0</v>
      </c>
      <c r="AE23" s="11"/>
      <c r="AF23">
        <v>7.4999999999999997E-2</v>
      </c>
      <c r="AG23" s="7">
        <f t="shared" si="44"/>
        <v>8.1018518518518514E-3</v>
      </c>
      <c r="AH23">
        <f t="shared" si="32"/>
        <v>0</v>
      </c>
      <c r="AI23">
        <f t="shared" si="52"/>
        <v>0</v>
      </c>
      <c r="AJ23" s="11"/>
      <c r="AK23">
        <v>0.05</v>
      </c>
      <c r="AL23" s="7">
        <f t="shared" si="45"/>
        <v>3.6008230452674902E-3</v>
      </c>
      <c r="AM23">
        <f t="shared" si="34"/>
        <v>0</v>
      </c>
      <c r="AN23">
        <f t="shared" si="46"/>
        <v>0</v>
      </c>
      <c r="AO23" s="11"/>
      <c r="AP23">
        <v>2.5000000000000001E-2</v>
      </c>
      <c r="AQ23" s="7">
        <f t="shared" si="47"/>
        <v>9.0020576131687256E-4</v>
      </c>
      <c r="AR23">
        <f t="shared" si="35"/>
        <v>0</v>
      </c>
      <c r="AS23">
        <f t="shared" si="48"/>
        <v>0</v>
      </c>
      <c r="AT23" s="11"/>
      <c r="AU23">
        <v>1E-3</v>
      </c>
      <c r="AV23" s="7">
        <f t="shared" si="49"/>
        <v>1.440329218106996E-6</v>
      </c>
      <c r="AW23" s="10">
        <f t="shared" si="36"/>
        <v>0</v>
      </c>
      <c r="AX23" s="10">
        <f t="shared" si="50"/>
        <v>0</v>
      </c>
      <c r="AY23" s="11"/>
      <c r="AZ23">
        <f t="shared" si="51"/>
        <v>0</v>
      </c>
      <c r="BA23"/>
      <c r="BB23" s="47">
        <v>44.67</v>
      </c>
    </row>
    <row r="24" spans="1:54" s="25" customFormat="1" x14ac:dyDescent="0.25">
      <c r="A24" s="4">
        <v>1.7</v>
      </c>
      <c r="B24" s="5">
        <v>50.119</v>
      </c>
      <c r="C24" s="5">
        <v>10.308</v>
      </c>
      <c r="D24" s="27">
        <f t="shared" si="37"/>
        <v>56.234406051811376</v>
      </c>
      <c r="E24" s="6" t="s">
        <v>13</v>
      </c>
      <c r="F24" s="45">
        <f t="shared" si="38"/>
        <v>5.1081284800000001E-2</v>
      </c>
      <c r="G24" s="18">
        <v>0.11</v>
      </c>
      <c r="H24" s="10">
        <f t="shared" si="27"/>
        <v>1.9676585749333333E-3</v>
      </c>
      <c r="I24" s="7">
        <f t="shared" si="39"/>
        <v>0.19676585749333333</v>
      </c>
      <c r="J24" s="18">
        <v>0</v>
      </c>
      <c r="K24" s="11"/>
      <c r="L24" s="26">
        <v>0.25</v>
      </c>
      <c r="M24" s="7">
        <f t="shared" si="40"/>
        <v>9.8972570459044187E-2</v>
      </c>
      <c r="N24" s="52">
        <f t="shared" si="28"/>
        <v>0</v>
      </c>
      <c r="O24" s="26">
        <v>0</v>
      </c>
      <c r="P24" s="17"/>
      <c r="Q24">
        <v>0.2</v>
      </c>
      <c r="R24" s="7">
        <f t="shared" si="41"/>
        <v>5.7613168724279844E-2</v>
      </c>
      <c r="S24" s="52">
        <f t="shared" si="29"/>
        <v>0</v>
      </c>
      <c r="T24">
        <v>0</v>
      </c>
      <c r="U24" s="11"/>
      <c r="V24">
        <v>0.15</v>
      </c>
      <c r="W24" s="7">
        <f t="shared" si="42"/>
        <v>3.2407407407407406E-2</v>
      </c>
      <c r="X24" s="25">
        <f t="shared" si="30"/>
        <v>0</v>
      </c>
      <c r="Y24" s="1">
        <v>0</v>
      </c>
      <c r="Z24" s="11"/>
      <c r="AA24">
        <v>0.1</v>
      </c>
      <c r="AB24" s="7">
        <f t="shared" si="43"/>
        <v>1.4403292181069961E-2</v>
      </c>
      <c r="AC24">
        <f t="shared" si="31"/>
        <v>0</v>
      </c>
      <c r="AD24" s="1">
        <v>0</v>
      </c>
      <c r="AE24" s="11"/>
      <c r="AF24">
        <v>7.4999999999999997E-2</v>
      </c>
      <c r="AG24" s="7">
        <f t="shared" si="44"/>
        <v>8.1018518518518514E-3</v>
      </c>
      <c r="AH24">
        <f t="shared" si="32"/>
        <v>0</v>
      </c>
      <c r="AI24" s="1">
        <v>0</v>
      </c>
      <c r="AJ24" s="11"/>
      <c r="AK24">
        <v>0.05</v>
      </c>
      <c r="AL24" s="7">
        <f t="shared" si="45"/>
        <v>3.6008230452674902E-3</v>
      </c>
      <c r="AM24">
        <f t="shared" si="34"/>
        <v>0</v>
      </c>
      <c r="AN24" s="1">
        <v>0</v>
      </c>
      <c r="AO24" s="11"/>
      <c r="AP24">
        <v>2.5000000000000001E-2</v>
      </c>
      <c r="AQ24" s="7">
        <f t="shared" si="47"/>
        <v>9.0020576131687256E-4</v>
      </c>
      <c r="AR24">
        <f t="shared" si="35"/>
        <v>0</v>
      </c>
      <c r="AS24" s="1">
        <v>0</v>
      </c>
      <c r="AT24" s="11"/>
      <c r="AU24">
        <v>1E-3</v>
      </c>
      <c r="AV24" s="7">
        <f t="shared" si="49"/>
        <v>1.440329218106996E-6</v>
      </c>
      <c r="AW24" s="10">
        <f t="shared" si="36"/>
        <v>0</v>
      </c>
      <c r="AX24" s="1">
        <v>0</v>
      </c>
      <c r="AY24" s="11"/>
      <c r="AZ24">
        <f t="shared" si="51"/>
        <v>0</v>
      </c>
      <c r="BA24"/>
      <c r="BB24" s="47">
        <v>56.23</v>
      </c>
    </row>
    <row r="25" spans="1:54" s="25" customFormat="1" x14ac:dyDescent="0.25">
      <c r="A25" s="4">
        <v>1.8</v>
      </c>
      <c r="B25" s="5">
        <v>63.095999999999997</v>
      </c>
      <c r="C25" s="5">
        <v>12.977</v>
      </c>
      <c r="D25" s="5"/>
      <c r="E25" s="6"/>
      <c r="F25"/>
      <c r="G25" s="18">
        <v>0.124</v>
      </c>
      <c r="H25"/>
      <c r="I25" s="11" t="s">
        <v>18</v>
      </c>
      <c r="J25" s="11">
        <f>SUM(J17:J24)</f>
        <v>2.2120000000000002</v>
      </c>
      <c r="K25" s="11"/>
      <c r="L25" s="26"/>
      <c r="M25" s="26"/>
      <c r="N25" s="26"/>
      <c r="O25" s="48">
        <v>0</v>
      </c>
      <c r="P25" s="17"/>
      <c r="Q25"/>
      <c r="R25"/>
      <c r="S25"/>
      <c r="T25" s="46">
        <v>0</v>
      </c>
      <c r="U25" s="11"/>
      <c r="V25"/>
      <c r="W25"/>
      <c r="X25"/>
      <c r="Y25" s="46">
        <f>SUM(Y23:Y24)</f>
        <v>0</v>
      </c>
      <c r="Z25" s="11"/>
      <c r="AA25"/>
      <c r="AB25"/>
      <c r="AC25"/>
      <c r="AD25" s="46">
        <f>SUM(AD19:AD24)</f>
        <v>1.5482917048567003E-5</v>
      </c>
      <c r="AE25" s="11"/>
      <c r="AF25"/>
      <c r="AG25"/>
      <c r="AH25"/>
      <c r="AI25" s="46">
        <f>SUM(AI17:AI24)</f>
        <v>1.9006970491268624E-5</v>
      </c>
      <c r="AJ25" s="11"/>
      <c r="AK25"/>
      <c r="AL25"/>
      <c r="AM25"/>
      <c r="AN25" s="46">
        <f>SUM(AN17:AN24)</f>
        <v>3.757507690487245E-5</v>
      </c>
      <c r="AO25" s="11"/>
      <c r="AP25"/>
      <c r="AQ25"/>
      <c r="AR25"/>
      <c r="AS25" s="46">
        <f>SUM(AS17:AS24)</f>
        <v>4.7712333475065121E-5</v>
      </c>
      <c r="AT25" s="11"/>
      <c r="AU25"/>
      <c r="AV25"/>
      <c r="AW25"/>
      <c r="AX25" s="93">
        <f>SUM(AX17:AX24)</f>
        <v>3.8418517211556729E-5</v>
      </c>
      <c r="AY25" s="11" t="s">
        <v>89</v>
      </c>
      <c r="AZ25" s="55">
        <f>SUM(AZ17:AZ24)</f>
        <v>3.3813760021931911E-3</v>
      </c>
      <c r="BA25" s="119" t="s">
        <v>154</v>
      </c>
      <c r="BB25" s="87"/>
    </row>
    <row r="26" spans="1:54" s="25" customFormat="1" x14ac:dyDescent="0.25">
      <c r="A26"/>
      <c r="B26"/>
      <c r="C26"/>
      <c r="D26"/>
      <c r="E26" s="6"/>
      <c r="F26" t="s">
        <v>52</v>
      </c>
      <c r="G26" t="s">
        <v>56</v>
      </c>
      <c r="H26"/>
      <c r="I26"/>
      <c r="J26"/>
      <c r="K26" s="11"/>
      <c r="L26" s="26"/>
      <c r="M26" s="26"/>
      <c r="N26" s="26"/>
      <c r="O26" s="48">
        <v>0</v>
      </c>
      <c r="P26" s="17"/>
      <c r="Q26"/>
      <c r="R26"/>
      <c r="S26"/>
      <c r="T26" s="46">
        <v>0</v>
      </c>
      <c r="U26" s="11"/>
      <c r="V26"/>
      <c r="W26"/>
      <c r="X26"/>
      <c r="Y26" s="25">
        <f>100*Y25/$AZ$13</f>
        <v>0</v>
      </c>
      <c r="Z26"/>
      <c r="AA26"/>
      <c r="AB26"/>
      <c r="AC26" s="116" t="s">
        <v>111</v>
      </c>
      <c r="AD26" s="115">
        <f>100*AD25/$AZ$13</f>
        <v>7.447780115694326</v>
      </c>
      <c r="AE26" s="118"/>
      <c r="AF26" s="19"/>
      <c r="AG26" s="19"/>
      <c r="AH26" s="116" t="s">
        <v>111</v>
      </c>
      <c r="AI26" s="115">
        <f>100*AI25/$AZ$13</f>
        <v>9.1429629468667297</v>
      </c>
      <c r="AJ26" s="118"/>
      <c r="AK26" s="19"/>
      <c r="AL26" s="19"/>
      <c r="AM26" s="116" t="s">
        <v>111</v>
      </c>
      <c r="AN26" s="115">
        <f>100*AN25/$AZ$13</f>
        <v>18.074818184451573</v>
      </c>
      <c r="AO26" s="92"/>
      <c r="AP26" s="19"/>
      <c r="AQ26" s="19"/>
      <c r="AR26" s="116" t="s">
        <v>111</v>
      </c>
      <c r="AS26" s="115">
        <f>100*AS25/$AZ$13</f>
        <v>22.951164009617667</v>
      </c>
      <c r="AT26" s="11"/>
      <c r="AU26"/>
      <c r="AV26"/>
      <c r="AW26" s="116" t="s">
        <v>111</v>
      </c>
      <c r="AX26" s="115">
        <f>100*AX25/$AZ$13</f>
        <v>18.480540047146672</v>
      </c>
      <c r="AY26" s="11" t="s">
        <v>90</v>
      </c>
      <c r="AZ26" s="82">
        <f>O25+T25+Y25+AD25+AI25+AN25+AS25+AX25</f>
        <v>1.5819581513132992E-4</v>
      </c>
      <c r="BA26" s="106">
        <f>AZ25/AZ26</f>
        <v>21.374623591566337</v>
      </c>
      <c r="BB26" s="87" t="s">
        <v>91</v>
      </c>
    </row>
    <row r="27" spans="1:54" s="25" customFormat="1" x14ac:dyDescent="0.25">
      <c r="E27" s="34"/>
      <c r="O27" s="26"/>
    </row>
    <row r="28" spans="1:54" s="25" customFormat="1" x14ac:dyDescent="0.25">
      <c r="E28" s="34"/>
      <c r="O28" s="26"/>
    </row>
    <row r="29" spans="1:54" s="25" customFormat="1" x14ac:dyDescent="0.25">
      <c r="E29" s="34"/>
      <c r="O29" s="26"/>
    </row>
    <row r="30" spans="1:54" s="25" customFormat="1" x14ac:dyDescent="0.25">
      <c r="E30" s="34"/>
      <c r="O30" s="26"/>
    </row>
    <row r="31" spans="1:54" s="25" customFormat="1" x14ac:dyDescent="0.25">
      <c r="E31" s="34"/>
      <c r="O31" s="26"/>
    </row>
    <row r="32" spans="1:54" s="25" customFormat="1" x14ac:dyDescent="0.25">
      <c r="E32" s="34"/>
      <c r="O32" s="26"/>
    </row>
    <row r="33" spans="5:15" s="25" customFormat="1" x14ac:dyDescent="0.25">
      <c r="E33" s="34"/>
      <c r="O33" s="26"/>
    </row>
    <row r="34" spans="5:15" s="25" customFormat="1" x14ac:dyDescent="0.25">
      <c r="E34" s="34"/>
      <c r="O34" s="26"/>
    </row>
    <row r="35" spans="5:15" s="25" customFormat="1" x14ac:dyDescent="0.25">
      <c r="E35" s="34"/>
      <c r="O35" s="26"/>
    </row>
    <row r="36" spans="5:15" s="25" customFormat="1" x14ac:dyDescent="0.25">
      <c r="E36" s="34"/>
      <c r="O36" s="26"/>
    </row>
    <row r="37" spans="5:15" s="25" customFormat="1" x14ac:dyDescent="0.25">
      <c r="E37" s="34"/>
      <c r="O37" s="26"/>
    </row>
    <row r="38" spans="5:15" s="25" customFormat="1" x14ac:dyDescent="0.25">
      <c r="E38" s="34"/>
      <c r="O38" s="26"/>
    </row>
    <row r="39" spans="5:15" s="25" customFormat="1" x14ac:dyDescent="0.25">
      <c r="E39" s="34"/>
      <c r="O39" s="26"/>
    </row>
    <row r="40" spans="5:15" s="25" customFormat="1" x14ac:dyDescent="0.25">
      <c r="E40" s="34"/>
      <c r="O40" s="26"/>
    </row>
    <row r="41" spans="5:15" s="25" customFormat="1" x14ac:dyDescent="0.25">
      <c r="E41" s="34"/>
      <c r="O41" s="26"/>
    </row>
    <row r="42" spans="5:15" s="25" customFormat="1" x14ac:dyDescent="0.25">
      <c r="E42" s="34"/>
      <c r="O42" s="26"/>
    </row>
    <row r="43" spans="5:15" s="25" customFormat="1" x14ac:dyDescent="0.25">
      <c r="E43" s="34"/>
      <c r="O43" s="26"/>
    </row>
    <row r="44" spans="5:15" s="25" customFormat="1" x14ac:dyDescent="0.25">
      <c r="E44" s="34"/>
      <c r="O44" s="26"/>
    </row>
    <row r="45" spans="5:15" s="25" customFormat="1" x14ac:dyDescent="0.25">
      <c r="E45" s="34"/>
      <c r="O45" s="26"/>
    </row>
  </sheetData>
  <mergeCells count="2">
    <mergeCell ref="A2:C2"/>
    <mergeCell ref="A15:C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Q6" sqref="Q6"/>
    </sheetView>
  </sheetViews>
  <sheetFormatPr defaultRowHeight="15" x14ac:dyDescent="0.25"/>
  <cols>
    <col min="2" max="2" width="8.5703125" customWidth="1"/>
  </cols>
  <sheetData>
    <row r="1" spans="1:15" ht="18.75" x14ac:dyDescent="0.3">
      <c r="B1" s="13" t="s">
        <v>21</v>
      </c>
      <c r="E1" s="6"/>
      <c r="H1" s="33" t="s">
        <v>145</v>
      </c>
    </row>
    <row r="2" spans="1:15" ht="21.75" x14ac:dyDescent="0.4">
      <c r="B2" s="12" t="s">
        <v>19</v>
      </c>
      <c r="E2" s="6"/>
      <c r="H2" s="32" t="s">
        <v>54</v>
      </c>
    </row>
    <row r="3" spans="1:15" ht="21.75" x14ac:dyDescent="0.3">
      <c r="B3" s="12" t="s">
        <v>20</v>
      </c>
      <c r="E3" s="6"/>
      <c r="H3" s="33" t="s">
        <v>144</v>
      </c>
    </row>
    <row r="4" spans="1:15" ht="21.75" x14ac:dyDescent="0.4">
      <c r="E4" s="6"/>
      <c r="H4" s="32" t="s">
        <v>53</v>
      </c>
    </row>
    <row r="5" spans="1:15" x14ac:dyDescent="0.25">
      <c r="E5" s="6"/>
    </row>
    <row r="6" spans="1:15" ht="33" x14ac:dyDescent="0.35">
      <c r="A6" s="3" t="s">
        <v>3</v>
      </c>
      <c r="B6" s="64" t="s">
        <v>98</v>
      </c>
      <c r="C6" s="8" t="s">
        <v>55</v>
      </c>
      <c r="D6" s="62" t="s">
        <v>33</v>
      </c>
      <c r="E6" s="67" t="s">
        <v>142</v>
      </c>
      <c r="F6" s="39" t="s">
        <v>30</v>
      </c>
      <c r="G6" s="68" t="s">
        <v>32</v>
      </c>
      <c r="H6" s="68" t="s">
        <v>31</v>
      </c>
      <c r="I6" s="68" t="s">
        <v>143</v>
      </c>
      <c r="J6" s="44" t="s">
        <v>97</v>
      </c>
      <c r="K6" s="65" t="s">
        <v>142</v>
      </c>
      <c r="L6" s="46" t="s">
        <v>30</v>
      </c>
      <c r="M6" s="66" t="s">
        <v>32</v>
      </c>
      <c r="N6" s="66" t="s">
        <v>31</v>
      </c>
      <c r="O6" s="66" t="s">
        <v>143</v>
      </c>
    </row>
    <row r="7" spans="1:15" x14ac:dyDescent="0.25">
      <c r="A7" s="18">
        <v>10</v>
      </c>
      <c r="B7" s="21">
        <f t="shared" ref="B7:B15" si="0">LOG10(A7)</f>
        <v>1</v>
      </c>
      <c r="C7">
        <f t="shared" ref="C7:C15" si="1">0.544*B7-1.885</f>
        <v>-1.341</v>
      </c>
      <c r="D7" s="63">
        <f t="shared" ref="D7:D15" si="2">10^C7</f>
        <v>4.56036915951296E-2</v>
      </c>
      <c r="E7" s="20">
        <f t="shared" ref="E7:E15" si="3">(D7/1050)^0.5</f>
        <v>6.5903025145631032E-3</v>
      </c>
      <c r="F7" s="19">
        <f t="shared" ref="F7:F15" si="4">100*E7</f>
        <v>0.65903025145631033</v>
      </c>
      <c r="G7" s="19">
        <f t="shared" ref="G7:G15" si="5">(F7/0.4)*LN(30*100)</f>
        <v>13.191096078400472</v>
      </c>
      <c r="H7" s="19">
        <f t="shared" ref="H7:H15" si="6">(F7/0.4)*LN(30*1000)</f>
        <v>16.984779160489019</v>
      </c>
      <c r="I7" s="19">
        <f>27*F7</f>
        <v>17.793816789320378</v>
      </c>
      <c r="J7" s="45">
        <f>0.065*1600*9.8*A7/1000000</f>
        <v>1.0192E-2</v>
      </c>
      <c r="K7" s="20">
        <f t="shared" ref="K7:K15" si="7">(J7/1050)^0.5</f>
        <v>3.1155523854794458E-3</v>
      </c>
      <c r="L7" s="19">
        <f t="shared" ref="L7:L15" si="8">100*K7</f>
        <v>0.31155523854794459</v>
      </c>
      <c r="M7" s="19">
        <f t="shared" ref="M7:M15" si="9">(L7/0.4)*LN(30*100)</f>
        <v>6.2360643936044982</v>
      </c>
      <c r="N7" s="19">
        <f t="shared" ref="N7:N15" si="10">(L7/0.4)*LN(30*1000)</f>
        <v>8.0295205134162515</v>
      </c>
      <c r="O7" s="19">
        <f>27*L7</f>
        <v>8.4119914407945036</v>
      </c>
    </row>
    <row r="8" spans="1:15" x14ac:dyDescent="0.25">
      <c r="A8" s="18">
        <v>12.589</v>
      </c>
      <c r="B8" s="21">
        <f t="shared" si="0"/>
        <v>1.0999912335446844</v>
      </c>
      <c r="C8">
        <f t="shared" si="1"/>
        <v>-1.2866047689516917</v>
      </c>
      <c r="D8" s="63">
        <f t="shared" si="2"/>
        <v>5.1688654951225675E-2</v>
      </c>
      <c r="E8" s="20">
        <f t="shared" si="3"/>
        <v>7.0162162473614469E-3</v>
      </c>
      <c r="F8" s="19">
        <f t="shared" si="4"/>
        <v>0.70162162473614464</v>
      </c>
      <c r="G8" s="19">
        <f t="shared" si="5"/>
        <v>14.04360155262385</v>
      </c>
      <c r="H8" s="19">
        <f t="shared" si="6"/>
        <v>18.082460287723123</v>
      </c>
      <c r="I8" s="19">
        <f t="shared" ref="I8:I15" si="11">27*F8</f>
        <v>18.943783867875904</v>
      </c>
      <c r="J8" s="45">
        <f t="shared" ref="J8:J15" si="12">0.065*1600*9.8*A8/1000000</f>
        <v>1.28307088E-2</v>
      </c>
      <c r="K8" s="20">
        <f t="shared" si="7"/>
        <v>3.4956719907146133E-3</v>
      </c>
      <c r="L8" s="19">
        <f t="shared" si="8"/>
        <v>0.34956719907146133</v>
      </c>
      <c r="M8" s="19">
        <f t="shared" si="9"/>
        <v>6.996908713400213</v>
      </c>
      <c r="N8" s="19">
        <f t="shared" si="10"/>
        <v>9.0091792673542859</v>
      </c>
      <c r="O8" s="19">
        <f t="shared" ref="O8:O15" si="13">27*L8</f>
        <v>9.4383143749294565</v>
      </c>
    </row>
    <row r="9" spans="1:15" x14ac:dyDescent="0.25">
      <c r="A9" s="18">
        <v>15.849</v>
      </c>
      <c r="B9" s="21">
        <f t="shared" si="0"/>
        <v>1.2000018654066018</v>
      </c>
      <c r="C9">
        <f t="shared" si="1"/>
        <v>-1.2321989852188087</v>
      </c>
      <c r="D9" s="63">
        <f t="shared" si="2"/>
        <v>5.8586966901058878E-2</v>
      </c>
      <c r="E9" s="20">
        <f t="shared" si="3"/>
        <v>7.4697464036165102E-3</v>
      </c>
      <c r="F9" s="19">
        <f t="shared" si="4"/>
        <v>0.74697464036165107</v>
      </c>
      <c r="G9" s="19">
        <f t="shared" si="5"/>
        <v>14.951383836121824</v>
      </c>
      <c r="H9" s="19">
        <f t="shared" si="6"/>
        <v>19.251315515475142</v>
      </c>
      <c r="I9" s="19">
        <f t="shared" si="11"/>
        <v>20.168315289764578</v>
      </c>
      <c r="J9" s="45">
        <f t="shared" si="12"/>
        <v>1.6153300799999999E-2</v>
      </c>
      <c r="K9" s="20">
        <f t="shared" si="7"/>
        <v>3.9222564933976464E-3</v>
      </c>
      <c r="L9" s="19">
        <f t="shared" si="8"/>
        <v>0.39222564933976461</v>
      </c>
      <c r="M9" s="19">
        <f t="shared" si="9"/>
        <v>7.8507567951861228</v>
      </c>
      <c r="N9" s="19">
        <f t="shared" si="10"/>
        <v>10.108589128335254</v>
      </c>
      <c r="O9" s="19">
        <f t="shared" si="13"/>
        <v>10.590092532173644</v>
      </c>
    </row>
    <row r="10" spans="1:15" x14ac:dyDescent="0.25">
      <c r="A10" s="18">
        <v>19.952999999999999</v>
      </c>
      <c r="B10" s="21">
        <f t="shared" si="0"/>
        <v>1.3000082025538131</v>
      </c>
      <c r="C10">
        <f t="shared" si="1"/>
        <v>-1.1777955378107257</v>
      </c>
      <c r="D10" s="63">
        <f t="shared" si="2"/>
        <v>6.6405562862589834E-2</v>
      </c>
      <c r="E10" s="20">
        <f t="shared" si="3"/>
        <v>7.9525714836439238E-3</v>
      </c>
      <c r="F10" s="19">
        <f t="shared" si="4"/>
        <v>0.79525714836439243</v>
      </c>
      <c r="G10" s="19">
        <f t="shared" si="5"/>
        <v>15.917802601516728</v>
      </c>
      <c r="H10" s="19">
        <f t="shared" si="6"/>
        <v>20.495670738818738</v>
      </c>
      <c r="I10" s="19">
        <f t="shared" si="11"/>
        <v>21.471943005838597</v>
      </c>
      <c r="J10" s="45">
        <f t="shared" si="12"/>
        <v>2.0336097600000002E-2</v>
      </c>
      <c r="K10" s="20">
        <f t="shared" si="7"/>
        <v>4.4008762763795119E-3</v>
      </c>
      <c r="L10" s="19">
        <f t="shared" si="8"/>
        <v>0.44008762763795117</v>
      </c>
      <c r="M10" s="19">
        <f t="shared" si="9"/>
        <v>8.8087582721115751</v>
      </c>
      <c r="N10" s="19">
        <f t="shared" si="10"/>
        <v>11.342106299637228</v>
      </c>
      <c r="O10" s="19">
        <f t="shared" si="13"/>
        <v>11.882365946224681</v>
      </c>
    </row>
    <row r="11" spans="1:15" x14ac:dyDescent="0.25">
      <c r="A11" s="18">
        <v>25.119</v>
      </c>
      <c r="B11" s="21">
        <f t="shared" si="0"/>
        <v>1.400002345927956</v>
      </c>
      <c r="C11">
        <f t="shared" si="1"/>
        <v>-1.1233987238151919</v>
      </c>
      <c r="D11" s="63">
        <f t="shared" si="2"/>
        <v>7.5266422877521957E-2</v>
      </c>
      <c r="E11" s="20">
        <f t="shared" si="3"/>
        <v>8.4665404683614345E-3</v>
      </c>
      <c r="F11" s="19">
        <f t="shared" si="4"/>
        <v>0.84665404683614343</v>
      </c>
      <c r="G11" s="19">
        <f t="shared" si="5"/>
        <v>16.946558754021826</v>
      </c>
      <c r="H11" s="19">
        <f t="shared" si="6"/>
        <v>21.820291221941794</v>
      </c>
      <c r="I11" s="19">
        <f t="shared" si="11"/>
        <v>22.859659264575871</v>
      </c>
      <c r="J11" s="45">
        <f t="shared" si="12"/>
        <v>2.5601284800000002E-2</v>
      </c>
      <c r="K11" s="20">
        <f t="shared" si="7"/>
        <v>4.9378311028223723E-3</v>
      </c>
      <c r="L11" s="19">
        <f t="shared" si="8"/>
        <v>0.4937831102822372</v>
      </c>
      <c r="M11" s="19">
        <f t="shared" si="9"/>
        <v>9.8835226990429224</v>
      </c>
      <c r="N11" s="19">
        <f t="shared" si="10"/>
        <v>12.725966771313209</v>
      </c>
      <c r="O11" s="19">
        <f t="shared" si="13"/>
        <v>13.332143977620404</v>
      </c>
    </row>
    <row r="12" spans="1:15" x14ac:dyDescent="0.25">
      <c r="A12" s="18">
        <v>31.623000000000001</v>
      </c>
      <c r="B12" s="21">
        <f t="shared" si="0"/>
        <v>1.5000030680516931</v>
      </c>
      <c r="C12">
        <f t="shared" si="1"/>
        <v>-1.0689983309798787</v>
      </c>
      <c r="D12" s="63">
        <f t="shared" si="2"/>
        <v>8.5310339253953912E-2</v>
      </c>
      <c r="E12" s="20">
        <f t="shared" si="3"/>
        <v>9.0137640387699738E-3</v>
      </c>
      <c r="F12" s="19">
        <f t="shared" si="4"/>
        <v>0.90137640387699736</v>
      </c>
      <c r="G12" s="19">
        <f t="shared" si="5"/>
        <v>18.041877015615</v>
      </c>
      <c r="H12" s="19">
        <f t="shared" si="6"/>
        <v>23.230616692474388</v>
      </c>
      <c r="I12" s="19">
        <f t="shared" si="11"/>
        <v>24.33716290467893</v>
      </c>
      <c r="J12" s="45">
        <f t="shared" si="12"/>
        <v>3.2230161600000001E-2</v>
      </c>
      <c r="K12" s="20">
        <f t="shared" si="7"/>
        <v>5.5403422276967696E-3</v>
      </c>
      <c r="L12" s="19">
        <f t="shared" si="8"/>
        <v>0.55403422276967695</v>
      </c>
      <c r="M12" s="19">
        <f t="shared" si="9"/>
        <v>11.089504081378632</v>
      </c>
      <c r="N12" s="19">
        <f t="shared" si="10"/>
        <v>14.278781437273633</v>
      </c>
      <c r="O12" s="19">
        <f t="shared" si="13"/>
        <v>14.958924014781278</v>
      </c>
    </row>
    <row r="13" spans="1:15" x14ac:dyDescent="0.25">
      <c r="A13" s="18">
        <v>39.811</v>
      </c>
      <c r="B13" s="21">
        <f t="shared" si="0"/>
        <v>1.6000030866277404</v>
      </c>
      <c r="C13">
        <f t="shared" si="1"/>
        <v>-1.0145983208745091</v>
      </c>
      <c r="D13" s="63">
        <f t="shared" si="2"/>
        <v>9.6694479312890325E-2</v>
      </c>
      <c r="E13" s="20">
        <f t="shared" si="3"/>
        <v>9.5963524475704207E-3</v>
      </c>
      <c r="F13" s="19">
        <f t="shared" si="4"/>
        <v>0.95963524475704209</v>
      </c>
      <c r="G13" s="19">
        <f t="shared" si="5"/>
        <v>19.207981250992219</v>
      </c>
      <c r="H13" s="19">
        <f t="shared" si="6"/>
        <v>24.732085774215367</v>
      </c>
      <c r="I13" s="19">
        <f t="shared" si="11"/>
        <v>25.910151608440138</v>
      </c>
      <c r="J13" s="45">
        <f>0.065*1600*9.8*A13/1000000</f>
        <v>4.0575371200000002E-2</v>
      </c>
      <c r="K13" s="20">
        <f t="shared" si="7"/>
        <v>6.2163663555703241E-3</v>
      </c>
      <c r="L13" s="19">
        <f t="shared" si="8"/>
        <v>0.62163663555703241</v>
      </c>
      <c r="M13" s="19">
        <f t="shared" si="9"/>
        <v>12.4426284944676</v>
      </c>
      <c r="N13" s="19">
        <f t="shared" si="10"/>
        <v>16.02105662019909</v>
      </c>
      <c r="O13" s="19">
        <f t="shared" si="13"/>
        <v>16.784189160039876</v>
      </c>
    </row>
    <row r="14" spans="1:15" x14ac:dyDescent="0.25">
      <c r="A14" s="18">
        <v>50.119</v>
      </c>
      <c r="B14" s="21">
        <f t="shared" si="0"/>
        <v>1.700002397142254</v>
      </c>
      <c r="C14">
        <f t="shared" si="1"/>
        <v>-0.96019869595461382</v>
      </c>
      <c r="D14" s="63">
        <f t="shared" si="2"/>
        <v>0.10959766563810838</v>
      </c>
      <c r="E14" s="20">
        <f t="shared" si="3"/>
        <v>1.0216590878524541E-2</v>
      </c>
      <c r="F14" s="19">
        <f t="shared" si="4"/>
        <v>1.0216590878524541</v>
      </c>
      <c r="G14" s="19">
        <f t="shared" si="5"/>
        <v>20.449445465442555</v>
      </c>
      <c r="H14" s="19">
        <f t="shared" si="6"/>
        <v>26.330587929969944</v>
      </c>
      <c r="I14" s="19">
        <f t="shared" si="11"/>
        <v>27.584795372016259</v>
      </c>
      <c r="J14" s="45">
        <f t="shared" si="12"/>
        <v>5.1081284800000001E-2</v>
      </c>
      <c r="K14" s="20">
        <f t="shared" si="7"/>
        <v>6.9748722329994453E-3</v>
      </c>
      <c r="L14" s="19">
        <f t="shared" si="8"/>
        <v>0.6974872232999445</v>
      </c>
      <c r="M14" s="19">
        <f t="shared" si="9"/>
        <v>13.960847708697752</v>
      </c>
      <c r="N14" s="19">
        <f t="shared" si="10"/>
        <v>17.975906916008405</v>
      </c>
      <c r="O14" s="19">
        <f t="shared" si="13"/>
        <v>18.832155029098502</v>
      </c>
    </row>
    <row r="15" spans="1:15" x14ac:dyDescent="0.25">
      <c r="A15" s="18">
        <v>63.095999999999997</v>
      </c>
      <c r="B15" s="21">
        <f t="shared" si="0"/>
        <v>1.8000018278179688</v>
      </c>
      <c r="C15">
        <f t="shared" si="1"/>
        <v>-0.90579900566702487</v>
      </c>
      <c r="D15" s="63">
        <f t="shared" si="2"/>
        <v>0.12422270854144651</v>
      </c>
      <c r="E15" s="20">
        <f t="shared" si="3"/>
        <v>1.0876917829424119E-2</v>
      </c>
      <c r="F15" s="19">
        <f t="shared" si="4"/>
        <v>1.087691782942412</v>
      </c>
      <c r="G15" s="19">
        <f t="shared" si="5"/>
        <v>21.771150536374495</v>
      </c>
      <c r="H15" s="19">
        <f t="shared" si="6"/>
        <v>28.032407749312782</v>
      </c>
      <c r="I15" s="19">
        <f t="shared" si="11"/>
        <v>29.367678139445122</v>
      </c>
      <c r="J15" s="45">
        <f t="shared" si="12"/>
        <v>6.4307443200000008E-2</v>
      </c>
      <c r="K15" s="20">
        <f t="shared" si="7"/>
        <v>7.8259302322471556E-3</v>
      </c>
      <c r="L15" s="19">
        <f t="shared" si="8"/>
        <v>0.78259302322471558</v>
      </c>
      <c r="M15" s="19">
        <f t="shared" si="9"/>
        <v>15.664318499539295</v>
      </c>
      <c r="N15" s="19">
        <f t="shared" si="10"/>
        <v>20.169286072435231</v>
      </c>
      <c r="O15" s="19">
        <f t="shared" si="13"/>
        <v>21.130011627067322</v>
      </c>
    </row>
    <row r="16" spans="1:15" x14ac:dyDescent="0.25">
      <c r="D16" t="s">
        <v>56</v>
      </c>
      <c r="J16" t="s">
        <v>52</v>
      </c>
    </row>
    <row r="17" spans="1:7" x14ac:dyDescent="0.25">
      <c r="A17" s="9"/>
      <c r="B17" s="3"/>
      <c r="C17" s="107"/>
      <c r="D17" s="9"/>
      <c r="E17" s="6"/>
      <c r="F17" s="36"/>
      <c r="G17" s="16"/>
    </row>
    <row r="18" spans="1:7" ht="21" x14ac:dyDescent="0.4">
      <c r="A18" s="110" t="s">
        <v>141</v>
      </c>
      <c r="B18" s="5"/>
      <c r="C18" s="4"/>
      <c r="D18" s="27"/>
      <c r="E18" s="6"/>
      <c r="F18" s="51"/>
      <c r="G18" s="18"/>
    </row>
    <row r="19" spans="1:7" x14ac:dyDescent="0.25">
      <c r="A19" s="4"/>
      <c r="B19" s="5"/>
      <c r="C19" s="5"/>
      <c r="D19" s="27"/>
      <c r="E19" s="6"/>
      <c r="F19" s="51"/>
      <c r="G19" s="18"/>
    </row>
    <row r="20" spans="1:7" x14ac:dyDescent="0.25">
      <c r="A20" s="4"/>
      <c r="B20" s="5"/>
      <c r="C20" s="5"/>
      <c r="D20" s="27"/>
      <c r="E20" s="6"/>
      <c r="F20" s="51"/>
      <c r="G20" s="18"/>
    </row>
    <row r="21" spans="1:7" x14ac:dyDescent="0.25">
      <c r="A21" s="4"/>
      <c r="B21" s="5"/>
      <c r="C21" s="5"/>
      <c r="D21" s="27"/>
      <c r="E21" s="6"/>
      <c r="F21" s="51"/>
      <c r="G21" s="18"/>
    </row>
    <row r="22" spans="1:7" x14ac:dyDescent="0.25">
      <c r="A22" s="4"/>
      <c r="B22" s="5"/>
      <c r="C22" s="5"/>
      <c r="D22" s="27"/>
      <c r="E22" s="6"/>
      <c r="F22" s="51"/>
      <c r="G22" s="18"/>
    </row>
    <row r="23" spans="1:7" x14ac:dyDescent="0.25">
      <c r="A23" s="4"/>
      <c r="B23" s="5"/>
      <c r="C23" s="5"/>
      <c r="D23" s="27"/>
      <c r="E23" s="6"/>
      <c r="F23" s="51"/>
      <c r="G23" s="18"/>
    </row>
    <row r="24" spans="1:7" x14ac:dyDescent="0.25">
      <c r="A24" s="4"/>
      <c r="B24" s="5"/>
      <c r="C24" s="5"/>
      <c r="D24" s="27"/>
      <c r="E24" s="6"/>
      <c r="F24" s="51"/>
      <c r="G24" s="18"/>
    </row>
    <row r="25" spans="1:7" x14ac:dyDescent="0.25">
      <c r="A25" s="4"/>
      <c r="B25" s="5"/>
      <c r="C25" s="5"/>
      <c r="D25" s="27"/>
      <c r="E25" s="6"/>
      <c r="F25" s="51"/>
      <c r="G25" s="18"/>
    </row>
    <row r="26" spans="1:7" x14ac:dyDescent="0.25">
      <c r="A26" s="4"/>
      <c r="B26" s="5"/>
      <c r="C26" s="5"/>
      <c r="D26" s="5"/>
      <c r="E26" s="6"/>
      <c r="G26" s="18"/>
    </row>
    <row r="27" spans="1:7" x14ac:dyDescent="0.25">
      <c r="E27" s="6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workbookViewId="0">
      <selection activeCell="H16" sqref="H16:J26"/>
    </sheetView>
  </sheetViews>
  <sheetFormatPr defaultRowHeight="15" x14ac:dyDescent="0.25"/>
  <cols>
    <col min="1" max="1" width="12" customWidth="1"/>
    <col min="2" max="2" width="11" bestFit="1" customWidth="1"/>
    <col min="3" max="3" width="11.5703125" bestFit="1" customWidth="1"/>
    <col min="5" max="5" width="12.5703125" customWidth="1"/>
    <col min="7" max="7" width="10.85546875" customWidth="1"/>
    <col min="9" max="9" width="9.28515625" customWidth="1"/>
    <col min="10" max="10" width="13.85546875" customWidth="1"/>
    <col min="12" max="12" width="10.28515625" customWidth="1"/>
    <col min="13" max="13" width="10.7109375" customWidth="1"/>
  </cols>
  <sheetData>
    <row r="1" spans="1:34" ht="15.75" x14ac:dyDescent="0.25">
      <c r="A1" s="112" t="s">
        <v>34</v>
      </c>
      <c r="B1" s="11"/>
      <c r="C1" s="11"/>
    </row>
    <row r="2" spans="1:34" ht="30.75" x14ac:dyDescent="0.3">
      <c r="A2" s="36" t="s">
        <v>112</v>
      </c>
      <c r="B2" s="22" t="s">
        <v>46</v>
      </c>
      <c r="C2" s="28"/>
      <c r="D2" s="28"/>
      <c r="E2" s="29" t="s">
        <v>50</v>
      </c>
      <c r="F2" s="28"/>
      <c r="G2" s="28"/>
      <c r="H2" s="22" t="s">
        <v>35</v>
      </c>
      <c r="K2" s="22" t="s">
        <v>47</v>
      </c>
      <c r="L2" s="28"/>
      <c r="N2" s="3"/>
      <c r="O2" s="34"/>
      <c r="P2" s="34"/>
      <c r="Q2" s="120"/>
      <c r="R2" s="25"/>
      <c r="S2" s="25"/>
      <c r="T2" s="120"/>
      <c r="U2" s="36"/>
      <c r="V2" s="34"/>
      <c r="W2" s="121"/>
      <c r="X2" s="34"/>
      <c r="Y2" s="34"/>
      <c r="Z2" s="120"/>
      <c r="AA2" s="34"/>
      <c r="AB2" s="34"/>
      <c r="AC2" s="120"/>
      <c r="AD2" s="34"/>
      <c r="AE2" s="34"/>
      <c r="AF2" s="120"/>
      <c r="AG2" s="34"/>
      <c r="AH2" s="34"/>
    </row>
    <row r="3" spans="1:34" ht="18.75" x14ac:dyDescent="0.3">
      <c r="A3" s="22"/>
      <c r="B3">
        <v>0</v>
      </c>
      <c r="C3" t="s">
        <v>45</v>
      </c>
      <c r="E3">
        <v>0</v>
      </c>
      <c r="F3" t="s">
        <v>45</v>
      </c>
      <c r="H3">
        <v>0</v>
      </c>
      <c r="I3" t="s">
        <v>45</v>
      </c>
      <c r="K3">
        <v>0</v>
      </c>
      <c r="L3" t="s">
        <v>45</v>
      </c>
      <c r="N3" s="25"/>
      <c r="O3" s="25"/>
      <c r="P3" s="25"/>
      <c r="Q3" s="25"/>
      <c r="R3" s="25"/>
      <c r="S3" s="25"/>
      <c r="T3" s="4"/>
      <c r="U3" s="4"/>
      <c r="V3" s="4"/>
      <c r="W3" s="25"/>
      <c r="X3" s="25"/>
      <c r="Y3" s="34"/>
      <c r="Z3" s="25"/>
      <c r="AA3" s="25"/>
      <c r="AB3" s="34"/>
      <c r="AC3" s="34"/>
      <c r="AD3" s="34"/>
      <c r="AE3" s="34"/>
      <c r="AF3" s="34"/>
      <c r="AG3" s="34"/>
      <c r="AH3" s="34"/>
    </row>
    <row r="4" spans="1:34" x14ac:dyDescent="0.25">
      <c r="A4" s="23" t="s">
        <v>36</v>
      </c>
      <c r="B4">
        <v>978</v>
      </c>
      <c r="C4" s="30">
        <f>(B4-B3)/9686</f>
        <v>0.10097047284740863</v>
      </c>
      <c r="D4" s="21">
        <f>100*C4</f>
        <v>10.097047284740864</v>
      </c>
      <c r="E4">
        <v>15</v>
      </c>
      <c r="F4" s="30">
        <f>(E4-E3)/8395</f>
        <v>1.7867778439547349E-3</v>
      </c>
      <c r="G4" s="21">
        <f>100*F4</f>
        <v>0.17867778439547349</v>
      </c>
      <c r="H4">
        <v>608</v>
      </c>
      <c r="I4" s="30">
        <f>(H4-H3)/25459</f>
        <v>2.3881535017086297E-2</v>
      </c>
      <c r="J4" s="21">
        <f>100*I4</f>
        <v>2.3881535017086297</v>
      </c>
      <c r="K4">
        <v>47</v>
      </c>
      <c r="L4" s="30">
        <f t="shared" ref="L4:L11" si="0">(K4-K3)/10073</f>
        <v>4.6659386478705451E-3</v>
      </c>
      <c r="M4" s="21">
        <f>100*L4</f>
        <v>0.4665938647870545</v>
      </c>
      <c r="N4" s="122"/>
      <c r="O4" s="5"/>
      <c r="P4" s="59"/>
      <c r="Q4" s="25"/>
      <c r="R4" s="26"/>
      <c r="S4" s="59"/>
      <c r="T4" s="26"/>
      <c r="U4" s="26"/>
      <c r="V4" s="59"/>
      <c r="W4" s="26"/>
      <c r="X4" s="26"/>
      <c r="Y4" s="123"/>
      <c r="Z4" s="25"/>
      <c r="AA4" s="25"/>
      <c r="AB4" s="25"/>
      <c r="AC4" s="25"/>
      <c r="AD4" s="26"/>
      <c r="AE4" s="123"/>
      <c r="AF4" s="25"/>
      <c r="AG4" s="25"/>
      <c r="AH4" s="59"/>
    </row>
    <row r="5" spans="1:34" x14ac:dyDescent="0.25">
      <c r="A5" s="23" t="s">
        <v>38</v>
      </c>
      <c r="B5">
        <v>2300</v>
      </c>
      <c r="C5" s="30">
        <f t="shared" ref="C5:C11" si="1">(B5-B4)/9686</f>
        <v>0.13648564939087343</v>
      </c>
      <c r="D5" s="21">
        <f t="shared" ref="D5:D12" si="2">100*C5</f>
        <v>13.648564939087343</v>
      </c>
      <c r="E5">
        <v>248</v>
      </c>
      <c r="F5" s="30">
        <f t="shared" ref="F5:F10" si="3">(E5-E4)/8395</f>
        <v>2.775461584276355E-2</v>
      </c>
      <c r="G5" s="21">
        <f t="shared" ref="G5:G11" si="4">100*F5</f>
        <v>2.7754615842763548</v>
      </c>
      <c r="H5">
        <v>1487</v>
      </c>
      <c r="I5" s="30">
        <f>(H5-H4)/25459</f>
        <v>3.4526100789504695E-2</v>
      </c>
      <c r="J5" s="21">
        <f t="shared" ref="J5:J12" si="5">100*I5</f>
        <v>3.4526100789504697</v>
      </c>
      <c r="K5">
        <v>260</v>
      </c>
      <c r="L5" s="30">
        <f t="shared" si="0"/>
        <v>2.114563685098779E-2</v>
      </c>
      <c r="M5" s="21">
        <f t="shared" ref="M5:M11" si="6">100*L5</f>
        <v>2.114563685098779</v>
      </c>
      <c r="N5" s="122"/>
      <c r="O5" s="25"/>
      <c r="P5" s="59"/>
      <c r="Q5" s="25"/>
      <c r="R5" s="26"/>
      <c r="S5" s="59"/>
      <c r="T5" s="26"/>
      <c r="U5" s="26"/>
      <c r="V5" s="59"/>
      <c r="W5" s="25"/>
      <c r="X5" s="26"/>
      <c r="Y5" s="59"/>
      <c r="Z5" s="25"/>
      <c r="AA5" s="26"/>
      <c r="AB5" s="59"/>
      <c r="AC5" s="25"/>
      <c r="AD5" s="26"/>
      <c r="AE5" s="59"/>
      <c r="AF5" s="25"/>
      <c r="AG5" s="26"/>
      <c r="AH5" s="59"/>
    </row>
    <row r="6" spans="1:34" x14ac:dyDescent="0.25">
      <c r="A6" s="23" t="s">
        <v>37</v>
      </c>
      <c r="B6">
        <v>4100</v>
      </c>
      <c r="C6" s="30">
        <f t="shared" si="1"/>
        <v>0.18583522609952507</v>
      </c>
      <c r="D6" s="21">
        <f t="shared" si="2"/>
        <v>18.583522609952507</v>
      </c>
      <c r="E6">
        <v>1107</v>
      </c>
      <c r="F6" s="30">
        <f t="shared" si="3"/>
        <v>0.10232281119714115</v>
      </c>
      <c r="G6" s="21">
        <f t="shared" si="4"/>
        <v>10.232281119714115</v>
      </c>
      <c r="H6">
        <v>3153</v>
      </c>
      <c r="I6" s="30">
        <f t="shared" ref="I6:I12" si="7">(H6-H5)/25459</f>
        <v>6.543854825405554E-2</v>
      </c>
      <c r="J6" s="21">
        <f t="shared" si="5"/>
        <v>6.5438548254055542</v>
      </c>
      <c r="K6">
        <v>1093</v>
      </c>
      <c r="L6" s="30">
        <f t="shared" si="0"/>
        <v>8.2696316886726892E-2</v>
      </c>
      <c r="M6" s="21">
        <f t="shared" si="6"/>
        <v>8.2696316886726891</v>
      </c>
      <c r="N6" s="122"/>
      <c r="O6" s="25"/>
      <c r="P6" s="59"/>
      <c r="Q6" s="25"/>
      <c r="R6" s="26"/>
      <c r="S6" s="59"/>
      <c r="T6" s="26"/>
      <c r="U6" s="26"/>
      <c r="V6" s="59"/>
      <c r="W6" s="25"/>
      <c r="X6" s="26"/>
      <c r="Y6" s="59"/>
      <c r="Z6" s="25"/>
      <c r="AA6" s="26"/>
      <c r="AB6" s="59"/>
      <c r="AC6" s="25"/>
      <c r="AD6" s="26"/>
      <c r="AE6" s="59"/>
      <c r="AF6" s="25"/>
      <c r="AG6" s="26"/>
      <c r="AH6" s="59"/>
    </row>
    <row r="7" spans="1:34" x14ac:dyDescent="0.25">
      <c r="A7" s="23" t="s">
        <v>39</v>
      </c>
      <c r="B7">
        <v>6423</v>
      </c>
      <c r="C7" s="30">
        <f t="shared" si="1"/>
        <v>0.23983068346066488</v>
      </c>
      <c r="D7" s="59">
        <f t="shared" si="2"/>
        <v>23.983068346066489</v>
      </c>
      <c r="E7">
        <v>3153</v>
      </c>
      <c r="F7" s="30">
        <f t="shared" si="3"/>
        <v>0.24371649791542585</v>
      </c>
      <c r="G7" s="21">
        <f t="shared" si="4"/>
        <v>24.371649791542584</v>
      </c>
      <c r="H7">
        <v>6184</v>
      </c>
      <c r="I7" s="30">
        <f t="shared" si="7"/>
        <v>0.11905416552103382</v>
      </c>
      <c r="J7" s="21">
        <f t="shared" si="5"/>
        <v>11.905416552103382</v>
      </c>
      <c r="K7">
        <v>2827</v>
      </c>
      <c r="L7" s="30">
        <f t="shared" si="0"/>
        <v>0.17214335351930904</v>
      </c>
      <c r="M7" s="21">
        <f t="shared" si="6"/>
        <v>17.214335351930902</v>
      </c>
      <c r="N7" s="122"/>
      <c r="O7" s="25"/>
      <c r="P7" s="59"/>
      <c r="Q7" s="25"/>
      <c r="R7" s="26"/>
      <c r="S7" s="59"/>
      <c r="T7" s="26"/>
      <c r="U7" s="26"/>
      <c r="V7" s="59"/>
      <c r="W7" s="25"/>
      <c r="X7" s="26"/>
      <c r="Y7" s="59"/>
      <c r="Z7" s="25"/>
      <c r="AA7" s="26"/>
      <c r="AB7" s="59"/>
      <c r="AC7" s="25"/>
      <c r="AD7" s="26"/>
      <c r="AE7" s="59"/>
      <c r="AF7" s="25"/>
      <c r="AG7" s="26"/>
      <c r="AH7" s="59"/>
    </row>
    <row r="8" spans="1:34" x14ac:dyDescent="0.25">
      <c r="A8" s="23" t="s">
        <v>40</v>
      </c>
      <c r="B8">
        <v>8658</v>
      </c>
      <c r="C8" s="30">
        <f t="shared" si="1"/>
        <v>0.23074540574024366</v>
      </c>
      <c r="D8" s="59">
        <f t="shared" si="2"/>
        <v>23.074540574024365</v>
      </c>
      <c r="E8">
        <v>6230</v>
      </c>
      <c r="F8" s="30">
        <f t="shared" si="3"/>
        <v>0.36652769505658128</v>
      </c>
      <c r="G8" s="59">
        <f t="shared" si="4"/>
        <v>36.652769505658128</v>
      </c>
      <c r="H8">
        <v>11892</v>
      </c>
      <c r="I8" s="30">
        <f t="shared" si="7"/>
        <v>0.22420362150909307</v>
      </c>
      <c r="J8" s="59">
        <f t="shared" si="5"/>
        <v>22.420362150909305</v>
      </c>
      <c r="K8">
        <v>5090</v>
      </c>
      <c r="L8" s="30">
        <f t="shared" si="0"/>
        <v>0.22465998213044774</v>
      </c>
      <c r="M8" s="59">
        <f t="shared" si="6"/>
        <v>22.465998213044774</v>
      </c>
      <c r="N8" s="122"/>
      <c r="O8" s="25"/>
      <c r="P8" s="59"/>
      <c r="Q8" s="25"/>
      <c r="R8" s="26"/>
      <c r="S8" s="59"/>
      <c r="T8" s="26"/>
      <c r="U8" s="26"/>
      <c r="V8" s="59"/>
      <c r="W8" s="25"/>
      <c r="X8" s="26"/>
      <c r="Y8" s="59"/>
      <c r="Z8" s="25"/>
      <c r="AA8" s="26"/>
      <c r="AB8" s="59"/>
      <c r="AC8" s="25"/>
      <c r="AD8" s="26"/>
      <c r="AE8" s="59"/>
      <c r="AF8" s="25"/>
      <c r="AG8" s="26"/>
      <c r="AH8" s="59"/>
    </row>
    <row r="9" spans="1:34" x14ac:dyDescent="0.25">
      <c r="A9" s="23" t="s">
        <v>41</v>
      </c>
      <c r="B9">
        <v>9346</v>
      </c>
      <c r="C9" s="30">
        <f t="shared" si="1"/>
        <v>7.1030353086929593E-2</v>
      </c>
      <c r="D9" s="21">
        <f t="shared" si="2"/>
        <v>7.1030353086929594</v>
      </c>
      <c r="E9">
        <v>7433</v>
      </c>
      <c r="F9" s="30">
        <f t="shared" si="3"/>
        <v>0.14329958308516974</v>
      </c>
      <c r="G9" s="21">
        <f t="shared" si="4"/>
        <v>14.329958308516973</v>
      </c>
      <c r="H9">
        <v>15957</v>
      </c>
      <c r="I9" s="30">
        <f t="shared" si="7"/>
        <v>0.15966848658627597</v>
      </c>
      <c r="J9" s="21">
        <f t="shared" si="5"/>
        <v>15.966848658627598</v>
      </c>
      <c r="K9">
        <v>6198</v>
      </c>
      <c r="L9" s="30">
        <f t="shared" si="0"/>
        <v>0.10999702174128859</v>
      </c>
      <c r="M9" s="21">
        <f t="shared" si="6"/>
        <v>10.999702174128858</v>
      </c>
      <c r="N9" s="122"/>
      <c r="O9" s="25"/>
      <c r="P9" s="59"/>
      <c r="Q9" s="25"/>
      <c r="R9" s="26"/>
      <c r="S9" s="59"/>
      <c r="T9" s="26"/>
      <c r="U9" s="26"/>
      <c r="V9" s="59"/>
      <c r="W9" s="26"/>
      <c r="X9" s="26"/>
      <c r="Y9" s="59"/>
      <c r="Z9" s="25"/>
      <c r="AA9" s="26"/>
      <c r="AB9" s="59"/>
      <c r="AC9" s="25"/>
      <c r="AD9" s="26"/>
      <c r="AE9" s="59"/>
      <c r="AF9" s="25"/>
      <c r="AG9" s="26"/>
      <c r="AH9" s="59"/>
    </row>
    <row r="10" spans="1:34" x14ac:dyDescent="0.25">
      <c r="A10" s="23" t="s">
        <v>42</v>
      </c>
      <c r="B10">
        <v>9644</v>
      </c>
      <c r="C10" s="30">
        <f t="shared" si="1"/>
        <v>3.0766054098699154E-2</v>
      </c>
      <c r="D10" s="21">
        <f t="shared" si="2"/>
        <v>3.0766054098699156</v>
      </c>
      <c r="E10">
        <v>8395</v>
      </c>
      <c r="F10" s="30">
        <f t="shared" si="3"/>
        <v>0.11459201905896367</v>
      </c>
      <c r="G10" s="21">
        <f t="shared" si="4"/>
        <v>11.459201905896368</v>
      </c>
      <c r="H10">
        <v>20518</v>
      </c>
      <c r="I10" s="30">
        <f t="shared" si="7"/>
        <v>0.17915079146863586</v>
      </c>
      <c r="J10" s="21">
        <f t="shared" si="5"/>
        <v>17.915079146863587</v>
      </c>
      <c r="K10">
        <v>7572</v>
      </c>
      <c r="L10" s="30">
        <f t="shared" si="0"/>
        <v>0.13640424898242828</v>
      </c>
      <c r="M10" s="21">
        <f t="shared" si="6"/>
        <v>13.640424898242829</v>
      </c>
      <c r="N10" s="122"/>
      <c r="O10" s="25"/>
      <c r="P10" s="59"/>
      <c r="Q10" s="25"/>
      <c r="R10" s="26"/>
      <c r="S10" s="59"/>
      <c r="T10" s="26"/>
      <c r="U10" s="26"/>
      <c r="V10" s="59"/>
      <c r="W10" s="25"/>
      <c r="X10" s="26"/>
      <c r="Y10" s="59"/>
      <c r="Z10" s="25"/>
      <c r="AA10" s="26"/>
      <c r="AB10" s="59"/>
      <c r="AC10" s="25"/>
      <c r="AD10" s="26"/>
      <c r="AE10" s="59"/>
      <c r="AF10" s="25"/>
      <c r="AG10" s="26"/>
      <c r="AH10" s="59"/>
    </row>
    <row r="11" spans="1:34" x14ac:dyDescent="0.25">
      <c r="A11" s="23" t="s">
        <v>43</v>
      </c>
      <c r="B11" s="1">
        <v>9686</v>
      </c>
      <c r="C11" s="30">
        <f t="shared" si="1"/>
        <v>4.3361552756555856E-3</v>
      </c>
      <c r="D11" s="21">
        <f t="shared" si="2"/>
        <v>0.43361552756555855</v>
      </c>
      <c r="F11" s="30">
        <v>0</v>
      </c>
      <c r="G11" s="21">
        <f t="shared" si="4"/>
        <v>0</v>
      </c>
      <c r="H11">
        <v>24366</v>
      </c>
      <c r="I11" s="30">
        <f t="shared" si="7"/>
        <v>0.15114497820024353</v>
      </c>
      <c r="J11" s="21">
        <f t="shared" si="5"/>
        <v>15.114497820024352</v>
      </c>
      <c r="K11">
        <v>8992</v>
      </c>
      <c r="L11" s="30">
        <f t="shared" si="0"/>
        <v>0.1409709123399186</v>
      </c>
      <c r="M11" s="21">
        <f t="shared" si="6"/>
        <v>14.097091233991859</v>
      </c>
      <c r="N11" s="122"/>
      <c r="O11" s="25"/>
      <c r="P11" s="59"/>
      <c r="Q11" s="25"/>
      <c r="R11" s="26"/>
      <c r="S11" s="59"/>
      <c r="T11" s="26"/>
      <c r="U11" s="26"/>
      <c r="V11" s="59"/>
      <c r="W11" s="26"/>
      <c r="X11" s="26"/>
      <c r="Y11" s="59"/>
      <c r="Z11" s="25"/>
      <c r="AA11" s="26"/>
      <c r="AB11" s="59"/>
      <c r="AC11" s="25"/>
      <c r="AD11" s="26"/>
      <c r="AE11" s="59"/>
      <c r="AF11" s="25"/>
      <c r="AG11" s="26"/>
      <c r="AH11" s="59"/>
    </row>
    <row r="12" spans="1:34" x14ac:dyDescent="0.25">
      <c r="A12" s="23" t="s">
        <v>44</v>
      </c>
      <c r="C12" s="30">
        <v>0</v>
      </c>
      <c r="D12" s="21">
        <f t="shared" si="2"/>
        <v>0</v>
      </c>
      <c r="F12" s="11">
        <v>0</v>
      </c>
      <c r="H12">
        <v>25459</v>
      </c>
      <c r="I12" s="30">
        <f t="shared" si="7"/>
        <v>4.2931772654071249E-2</v>
      </c>
      <c r="J12" s="21">
        <f t="shared" si="5"/>
        <v>4.2931772654071247</v>
      </c>
      <c r="K12">
        <v>10073</v>
      </c>
      <c r="L12" s="30">
        <f>(K12-K11)/10073</f>
        <v>0.10731658890102254</v>
      </c>
      <c r="M12" s="21">
        <f>100*L12</f>
        <v>10.731658890102254</v>
      </c>
      <c r="N12" s="122"/>
      <c r="O12" s="25"/>
      <c r="P12" s="59"/>
      <c r="Q12" s="25"/>
      <c r="R12" s="26"/>
      <c r="S12" s="59"/>
      <c r="T12" s="26"/>
      <c r="U12" s="26"/>
      <c r="V12" s="59"/>
      <c r="W12" s="25"/>
      <c r="X12" s="26"/>
      <c r="Y12" s="59"/>
      <c r="Z12" s="25"/>
      <c r="AA12" s="26"/>
      <c r="AB12" s="59"/>
      <c r="AC12" s="25"/>
      <c r="AD12" s="26"/>
      <c r="AE12" s="59"/>
      <c r="AF12" s="25"/>
      <c r="AG12" s="26"/>
      <c r="AH12" s="59"/>
    </row>
    <row r="13" spans="1:34" x14ac:dyDescent="0.25">
      <c r="B13" t="s">
        <v>51</v>
      </c>
      <c r="E13" t="s">
        <v>51</v>
      </c>
      <c r="H13" t="s">
        <v>51</v>
      </c>
      <c r="I13" s="7"/>
      <c r="K13" t="s">
        <v>51</v>
      </c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</row>
    <row r="14" spans="1:34" x14ac:dyDescent="0.25">
      <c r="I14" s="7"/>
      <c r="P14" s="25"/>
      <c r="S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</row>
    <row r="15" spans="1:34" ht="15.75" x14ac:dyDescent="0.25">
      <c r="A15" s="112" t="s">
        <v>155</v>
      </c>
      <c r="B15" s="11"/>
      <c r="C15" s="11"/>
      <c r="D15" s="11"/>
      <c r="E15" s="11"/>
    </row>
    <row r="16" spans="1:34" ht="33" x14ac:dyDescent="0.25">
      <c r="A16" s="111" t="s">
        <v>2</v>
      </c>
      <c r="B16" s="3" t="s">
        <v>3</v>
      </c>
      <c r="C16" s="31" t="s">
        <v>4</v>
      </c>
      <c r="D16" s="9" t="s">
        <v>14</v>
      </c>
      <c r="E16" s="6" t="s">
        <v>9</v>
      </c>
      <c r="F16" s="11" t="s">
        <v>96</v>
      </c>
      <c r="G16" s="11"/>
      <c r="H16" s="107"/>
      <c r="I16" s="25"/>
      <c r="J16" s="25"/>
      <c r="P16" s="26"/>
      <c r="U16" s="25"/>
      <c r="V16" s="25"/>
      <c r="Z16" s="25"/>
      <c r="AA16" s="25"/>
    </row>
    <row r="17" spans="1:27" x14ac:dyDescent="0.25">
      <c r="A17" s="4">
        <v>1</v>
      </c>
      <c r="B17" s="5">
        <v>10</v>
      </c>
      <c r="C17" s="4"/>
      <c r="D17" s="27">
        <f t="shared" ref="D17:D24" si="8">(B17*B18)^0.5</f>
        <v>11.220071301021219</v>
      </c>
      <c r="E17" s="6" t="s">
        <v>8</v>
      </c>
      <c r="F17" s="11">
        <v>1</v>
      </c>
      <c r="G17" s="81">
        <f>D17^2.5</f>
        <v>421.68586336443809</v>
      </c>
      <c r="H17" s="107"/>
      <c r="I17" s="4"/>
      <c r="J17" s="25"/>
      <c r="P17" s="25"/>
      <c r="U17" s="25"/>
      <c r="V17" s="25"/>
      <c r="Z17" s="25"/>
      <c r="AA17" s="25"/>
    </row>
    <row r="18" spans="1:27" x14ac:dyDescent="0.25">
      <c r="A18" s="4">
        <v>1.1000000000000001</v>
      </c>
      <c r="B18" s="5">
        <v>12.589</v>
      </c>
      <c r="C18" s="5">
        <v>2.589</v>
      </c>
      <c r="D18" s="27">
        <f t="shared" si="8"/>
        <v>14.125263218786403</v>
      </c>
      <c r="E18" s="6" t="s">
        <v>5</v>
      </c>
      <c r="F18" s="30">
        <f>G$17*D18^-2.5</f>
        <v>0.56233830594750833</v>
      </c>
      <c r="G18" s="11" t="s">
        <v>113</v>
      </c>
      <c r="H18" s="107"/>
      <c r="I18" s="51"/>
      <c r="J18" s="124"/>
      <c r="P18" s="25"/>
      <c r="U18" s="25"/>
      <c r="V18" s="25"/>
      <c r="Z18" s="25"/>
      <c r="AA18" s="25"/>
    </row>
    <row r="19" spans="1:27" x14ac:dyDescent="0.25">
      <c r="A19" s="4">
        <v>1.2</v>
      </c>
      <c r="B19" s="5">
        <v>15.849</v>
      </c>
      <c r="C19" s="5">
        <v>3.26</v>
      </c>
      <c r="D19" s="27">
        <f t="shared" si="8"/>
        <v>17.783000224933925</v>
      </c>
      <c r="E19" s="6" t="s">
        <v>6</v>
      </c>
      <c r="F19" s="30">
        <f>G$17*D19^-2.5</f>
        <v>0.31621062383559401</v>
      </c>
      <c r="G19" s="25"/>
      <c r="H19" s="107"/>
      <c r="I19" s="51"/>
      <c r="J19" s="25"/>
      <c r="P19" s="25"/>
      <c r="U19" s="25"/>
      <c r="V19" s="25"/>
      <c r="Z19" s="25"/>
      <c r="AA19" s="25"/>
    </row>
    <row r="20" spans="1:27" x14ac:dyDescent="0.25">
      <c r="A20" s="4">
        <v>1.3</v>
      </c>
      <c r="B20" s="5">
        <v>19.952999999999999</v>
      </c>
      <c r="C20" s="5">
        <v>4.1040000000000001</v>
      </c>
      <c r="D20" s="27">
        <f t="shared" si="8"/>
        <v>22.387483266325404</v>
      </c>
      <c r="E20" s="6" t="s">
        <v>7</v>
      </c>
      <c r="F20" s="30">
        <f>G$17*D20^-2.5</f>
        <v>0.17781805531525299</v>
      </c>
      <c r="G20" s="25"/>
      <c r="H20" s="107"/>
      <c r="I20" s="51"/>
      <c r="J20" s="25"/>
      <c r="P20" s="25"/>
      <c r="U20" s="25"/>
      <c r="V20" s="25"/>
      <c r="Z20" s="25"/>
      <c r="AA20" s="25"/>
    </row>
    <row r="21" spans="1:27" x14ac:dyDescent="0.25">
      <c r="A21" s="4">
        <v>1.4</v>
      </c>
      <c r="B21" s="5">
        <v>25.119</v>
      </c>
      <c r="C21" s="5">
        <v>5.1660000000000004</v>
      </c>
      <c r="D21" s="27">
        <f t="shared" si="8"/>
        <v>28.184004985097488</v>
      </c>
      <c r="E21" s="6" t="s">
        <v>10</v>
      </c>
      <c r="F21" s="30">
        <f>G$17*D21^-2.5</f>
        <v>9.9995918626020197E-2</v>
      </c>
      <c r="G21" s="25"/>
      <c r="H21" s="107"/>
      <c r="I21" s="51"/>
      <c r="J21" s="25"/>
      <c r="P21" s="25"/>
      <c r="U21" s="25"/>
      <c r="V21" s="25"/>
      <c r="Z21" s="25"/>
      <c r="AA21" s="25"/>
    </row>
    <row r="22" spans="1:27" x14ac:dyDescent="0.25">
      <c r="A22" s="4">
        <v>1.5</v>
      </c>
      <c r="B22" s="5">
        <v>31.623000000000001</v>
      </c>
      <c r="C22" s="5">
        <v>6.5039999999999996</v>
      </c>
      <c r="D22" s="27">
        <f t="shared" si="8"/>
        <v>35.481590339216758</v>
      </c>
      <c r="E22" s="6" t="s">
        <v>11</v>
      </c>
      <c r="F22" s="30">
        <f>G$17*D22^-2.5</f>
        <v>5.6231717512955193E-2</v>
      </c>
      <c r="G22" s="25"/>
      <c r="H22" s="107"/>
      <c r="I22" s="51"/>
      <c r="J22" s="25"/>
      <c r="P22" s="25"/>
      <c r="U22" s="25"/>
      <c r="V22" s="25"/>
      <c r="Z22" s="25"/>
      <c r="AA22" s="25"/>
    </row>
    <row r="23" spans="1:27" x14ac:dyDescent="0.25">
      <c r="A23" s="4">
        <v>1.6</v>
      </c>
      <c r="B23" s="5">
        <v>39.811</v>
      </c>
      <c r="C23" s="5">
        <v>8.1880000000000006</v>
      </c>
      <c r="D23" s="27">
        <f t="shared" si="8"/>
        <v>44.668641226256256</v>
      </c>
      <c r="E23" s="6" t="s">
        <v>12</v>
      </c>
      <c r="F23" s="30">
        <f>G$17*D23^-2.5</f>
        <v>3.1621479606013338E-2</v>
      </c>
      <c r="G23" s="25"/>
      <c r="H23" s="107"/>
      <c r="I23" s="51"/>
      <c r="J23" s="25"/>
      <c r="P23" s="25"/>
      <c r="U23" s="25"/>
      <c r="V23" s="25"/>
      <c r="Z23" s="25"/>
      <c r="AA23" s="25"/>
    </row>
    <row r="24" spans="1:27" x14ac:dyDescent="0.25">
      <c r="A24" s="4">
        <v>1.7</v>
      </c>
      <c r="B24" s="5">
        <v>50.119</v>
      </c>
      <c r="C24" s="5">
        <v>10.308</v>
      </c>
      <c r="D24" s="27">
        <f t="shared" si="8"/>
        <v>56.234406051811376</v>
      </c>
      <c r="E24" s="6" t="s">
        <v>13</v>
      </c>
      <c r="F24" s="30">
        <f>G$17*D24^-2.5</f>
        <v>1.7782129173254481E-2</v>
      </c>
      <c r="G24" s="25"/>
      <c r="H24" s="107"/>
      <c r="I24" s="51"/>
      <c r="J24" s="25"/>
      <c r="P24" s="25"/>
      <c r="U24" s="25"/>
      <c r="V24" s="25"/>
      <c r="Z24" s="25"/>
      <c r="AA24" s="25"/>
    </row>
    <row r="25" spans="1:27" x14ac:dyDescent="0.25">
      <c r="A25" s="4">
        <v>1.8</v>
      </c>
      <c r="B25" s="5">
        <v>63.095999999999997</v>
      </c>
      <c r="C25" s="5">
        <v>12.977</v>
      </c>
      <c r="D25" s="5"/>
      <c r="E25" s="6"/>
      <c r="F25" s="51">
        <f>SUM(F18:F24)</f>
        <v>1.2619982300165986</v>
      </c>
      <c r="G25" s="25"/>
      <c r="H25" s="25"/>
      <c r="I25" s="51"/>
      <c r="J25" s="25"/>
      <c r="P25" s="25"/>
      <c r="U25" s="25">
        <f>SUM(U16:U24)</f>
        <v>0</v>
      </c>
      <c r="V25" s="25">
        <f>SUM(V16:V24)</f>
        <v>0</v>
      </c>
      <c r="Z25" s="25"/>
      <c r="AA25" s="25"/>
    </row>
    <row r="26" spans="1:27" x14ac:dyDescent="0.25">
      <c r="F26" t="s">
        <v>146</v>
      </c>
      <c r="H26" s="25"/>
      <c r="I26" s="25"/>
      <c r="J26" s="2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02"/>
  <sheetViews>
    <sheetView topLeftCell="E1" zoomScale="80" zoomScaleNormal="80" workbookViewId="0">
      <selection activeCell="BE13" sqref="BE13"/>
    </sheetView>
  </sheetViews>
  <sheetFormatPr defaultRowHeight="15" x14ac:dyDescent="0.25"/>
  <cols>
    <col min="1" max="1" width="11.7109375" customWidth="1"/>
    <col min="2" max="2" width="8.7109375" customWidth="1"/>
    <col min="3" max="3" width="8" customWidth="1"/>
    <col min="5" max="5" width="14.140625" style="6" customWidth="1"/>
    <col min="6" max="6" width="10.85546875" customWidth="1"/>
    <col min="7" max="7" width="10" customWidth="1"/>
    <col min="8" max="8" width="9.5703125" customWidth="1"/>
    <col min="9" max="9" width="7.85546875" customWidth="1"/>
    <col min="10" max="10" width="6.5703125" customWidth="1"/>
    <col min="11" max="11" width="1.42578125" style="11" customWidth="1"/>
    <col min="12" max="12" width="6.85546875" hidden="1" customWidth="1"/>
    <col min="13" max="13" width="9.28515625" hidden="1" customWidth="1"/>
    <col min="14" max="14" width="8.42578125" customWidth="1"/>
    <col min="15" max="15" width="8.7109375" style="17" customWidth="1"/>
    <col min="16" max="16" width="1.28515625" customWidth="1"/>
    <col min="17" max="17" width="6.7109375" style="25" hidden="1" customWidth="1"/>
    <col min="18" max="18" width="7.28515625" style="25" hidden="1" customWidth="1"/>
    <col min="19" max="19" width="7.85546875" style="25" customWidth="1"/>
    <col min="20" max="20" width="7.28515625" style="25" customWidth="1"/>
    <col min="21" max="21" width="1.28515625" customWidth="1"/>
    <col min="22" max="22" width="7.7109375" hidden="1" customWidth="1"/>
    <col min="23" max="23" width="5.85546875" hidden="1" customWidth="1"/>
    <col min="24" max="24" width="7.7109375" customWidth="1"/>
    <col min="25" max="25" width="7" style="11" customWidth="1"/>
    <col min="26" max="26" width="1.28515625" customWidth="1"/>
    <col min="27" max="27" width="7.28515625" hidden="1" customWidth="1"/>
    <col min="28" max="28" width="8.42578125" hidden="1" customWidth="1"/>
    <col min="29" max="29" width="12.7109375" bestFit="1" customWidth="1"/>
    <col min="30" max="30" width="7.5703125" style="11" customWidth="1"/>
    <col min="31" max="31" width="1.28515625" customWidth="1"/>
    <col min="32" max="32" width="0" hidden="1" customWidth="1"/>
    <col min="33" max="33" width="6.5703125" hidden="1" customWidth="1"/>
    <col min="34" max="34" width="7.42578125" customWidth="1"/>
    <col min="35" max="35" width="7.7109375" style="11" customWidth="1"/>
    <col min="36" max="36" width="1.28515625" customWidth="1"/>
    <col min="37" max="37" width="6.42578125" hidden="1" customWidth="1"/>
    <col min="38" max="38" width="5.85546875" hidden="1" customWidth="1"/>
    <col min="39" max="39" width="6.7109375" customWidth="1"/>
    <col min="40" max="40" width="7.140625" style="11" customWidth="1"/>
    <col min="41" max="41" width="1.28515625" customWidth="1"/>
    <col min="42" max="42" width="7.28515625" hidden="1" customWidth="1"/>
    <col min="43" max="43" width="6" hidden="1" customWidth="1"/>
    <col min="44" max="44" width="7.85546875" customWidth="1"/>
    <col min="45" max="45" width="7" style="11" customWidth="1"/>
    <col min="46" max="46" width="1.28515625" customWidth="1"/>
    <col min="47" max="47" width="6.7109375" hidden="1" customWidth="1"/>
    <col min="48" max="48" width="6" hidden="1" customWidth="1"/>
    <col min="49" max="49" width="7.28515625" customWidth="1"/>
    <col min="50" max="50" width="7.85546875" customWidth="1"/>
    <col min="51" max="51" width="1.5703125" style="11" customWidth="1"/>
    <col min="52" max="53" width="7" hidden="1" customWidth="1"/>
    <col min="54" max="54" width="12" bestFit="1" customWidth="1"/>
    <col min="55" max="55" width="7.85546875" customWidth="1"/>
    <col min="56" max="56" width="11.42578125" style="11" customWidth="1"/>
    <col min="57" max="57" width="9.42578125" customWidth="1"/>
    <col min="58" max="58" width="5.7109375" customWidth="1"/>
  </cols>
  <sheetData>
    <row r="1" spans="1:59" s="25" customFormat="1" ht="21" x14ac:dyDescent="0.35">
      <c r="A1" s="38" t="s">
        <v>0</v>
      </c>
      <c r="E1" s="34"/>
      <c r="K1" s="11"/>
      <c r="O1" s="26"/>
      <c r="AY1" s="11"/>
      <c r="BD1" s="11"/>
    </row>
    <row r="2" spans="1:59" s="25" customFormat="1" x14ac:dyDescent="0.25">
      <c r="A2" s="108" t="s">
        <v>95</v>
      </c>
      <c r="B2" s="108"/>
      <c r="C2" s="108"/>
      <c r="D2" s="24"/>
      <c r="E2" s="34"/>
      <c r="K2" s="11"/>
      <c r="N2" s="39" t="s">
        <v>109</v>
      </c>
      <c r="O2" s="75">
        <v>0.10100000000000001</v>
      </c>
      <c r="T2" s="39">
        <v>0.13600000000000001</v>
      </c>
      <c r="Y2" s="39">
        <v>0.186</v>
      </c>
      <c r="AD2" s="39">
        <v>0.24</v>
      </c>
      <c r="AI2" s="39">
        <v>0.23100000000000001</v>
      </c>
      <c r="AN2" s="39">
        <v>7.0999999999999994E-2</v>
      </c>
      <c r="AS2" s="39">
        <v>3.1E-2</v>
      </c>
      <c r="AX2" s="39">
        <v>4.0000000000000001E-3</v>
      </c>
      <c r="AY2" s="11"/>
      <c r="BC2" s="39">
        <v>0</v>
      </c>
      <c r="BD2" s="57">
        <f>O2+T2+Y2+AD2+AI2+AN2+AS2+AX2+BC2</f>
        <v>1</v>
      </c>
    </row>
    <row r="3" spans="1:59" ht="45.75" customHeight="1" x14ac:dyDescent="0.4">
      <c r="A3" s="2" t="s">
        <v>2</v>
      </c>
      <c r="B3" s="3" t="s">
        <v>3</v>
      </c>
      <c r="C3" s="2" t="s">
        <v>4</v>
      </c>
      <c r="D3" s="9" t="s">
        <v>14</v>
      </c>
      <c r="E3" s="6" t="s">
        <v>9</v>
      </c>
      <c r="F3" s="44" t="s">
        <v>24</v>
      </c>
      <c r="G3" s="16" t="s">
        <v>49</v>
      </c>
      <c r="H3" s="6" t="s">
        <v>16</v>
      </c>
      <c r="I3" s="6" t="s">
        <v>15</v>
      </c>
      <c r="J3" s="8" t="s">
        <v>17</v>
      </c>
      <c r="L3" s="6" t="s">
        <v>22</v>
      </c>
      <c r="M3" s="14" t="s">
        <v>23</v>
      </c>
      <c r="N3" s="8" t="s">
        <v>25</v>
      </c>
      <c r="O3" s="36" t="s">
        <v>86</v>
      </c>
      <c r="P3" s="17"/>
      <c r="Q3" s="34" t="s">
        <v>22</v>
      </c>
      <c r="R3" s="35" t="s">
        <v>23</v>
      </c>
      <c r="S3" s="36" t="s">
        <v>25</v>
      </c>
      <c r="T3" s="36" t="s">
        <v>86</v>
      </c>
      <c r="U3" s="17"/>
      <c r="V3" s="6" t="s">
        <v>22</v>
      </c>
      <c r="W3" s="14" t="s">
        <v>23</v>
      </c>
      <c r="X3" s="8" t="s">
        <v>25</v>
      </c>
      <c r="Y3" s="36" t="s">
        <v>86</v>
      </c>
      <c r="Z3" s="11"/>
      <c r="AA3" t="s">
        <v>28</v>
      </c>
      <c r="AB3" s="14" t="s">
        <v>23</v>
      </c>
      <c r="AC3" s="8" t="s">
        <v>25</v>
      </c>
      <c r="AD3" s="36" t="s">
        <v>86</v>
      </c>
      <c r="AE3" s="11"/>
      <c r="AF3" t="s">
        <v>28</v>
      </c>
      <c r="AG3" s="14" t="s">
        <v>23</v>
      </c>
      <c r="AH3" s="8" t="s">
        <v>25</v>
      </c>
      <c r="AI3" s="36" t="s">
        <v>86</v>
      </c>
      <c r="AJ3" s="11"/>
      <c r="AK3" s="1" t="s">
        <v>28</v>
      </c>
      <c r="AL3" s="15" t="s">
        <v>29</v>
      </c>
      <c r="AM3" s="16" t="s">
        <v>25</v>
      </c>
      <c r="AN3" s="36" t="s">
        <v>86</v>
      </c>
      <c r="AO3" s="11"/>
      <c r="AP3" s="1" t="s">
        <v>28</v>
      </c>
      <c r="AQ3" s="15" t="s">
        <v>29</v>
      </c>
      <c r="AR3" s="16" t="s">
        <v>25</v>
      </c>
      <c r="AS3" s="36" t="s">
        <v>86</v>
      </c>
      <c r="AT3" s="11"/>
      <c r="AU3" s="1" t="s">
        <v>28</v>
      </c>
      <c r="AV3" s="15" t="s">
        <v>29</v>
      </c>
      <c r="AW3" s="16" t="s">
        <v>25</v>
      </c>
      <c r="AX3" s="36" t="s">
        <v>86</v>
      </c>
      <c r="AZ3" s="1" t="s">
        <v>28</v>
      </c>
      <c r="BA3" s="15" t="s">
        <v>29</v>
      </c>
      <c r="BB3" s="16" t="s">
        <v>25</v>
      </c>
      <c r="BC3" s="36" t="s">
        <v>86</v>
      </c>
      <c r="BE3" t="s">
        <v>88</v>
      </c>
      <c r="BG3" t="s">
        <v>87</v>
      </c>
    </row>
    <row r="4" spans="1:59" x14ac:dyDescent="0.25">
      <c r="A4" s="4">
        <v>1</v>
      </c>
      <c r="B4" s="5">
        <v>10</v>
      </c>
      <c r="C4" s="4"/>
      <c r="D4" s="27">
        <f>(B4*B5)^0.5</f>
        <v>11.220071301021219</v>
      </c>
      <c r="E4" s="6" t="s">
        <v>8</v>
      </c>
      <c r="F4" s="45">
        <f>0.065*1600*9.8*B4/1000000</f>
        <v>1.0192E-2</v>
      </c>
      <c r="G4" s="18">
        <v>4.5999999999999999E-2</v>
      </c>
      <c r="H4" s="10">
        <f t="shared" ref="H4:H11" si="0">1600*9.8*(D4/1000000)^2/(18*0.0014)</f>
        <v>7.8331555555555585E-5</v>
      </c>
      <c r="I4" s="7">
        <f>100*H4</f>
        <v>7.8331555555555578E-3</v>
      </c>
      <c r="J4">
        <v>0.1</v>
      </c>
      <c r="L4">
        <v>0.3</v>
      </c>
      <c r="M4" s="7">
        <f>1050*(0.4*L4/10.3)^2</f>
        <v>0.14252050146102363</v>
      </c>
      <c r="N4">
        <f>0.1*H4*(1-M4/F4)</f>
        <v>-1.0170228967599678E-4</v>
      </c>
      <c r="O4">
        <f>N4*0.101</f>
        <v>-1.0271931257275675E-5</v>
      </c>
      <c r="P4" s="17"/>
      <c r="Q4" s="26">
        <v>0.25</v>
      </c>
      <c r="R4" s="7">
        <f>1050*(0.4*Q4/10.3)^2</f>
        <v>9.8972570459044187E-2</v>
      </c>
      <c r="S4">
        <f t="shared" ref="S4:S11" si="1">0.1*H4*(1-R4/F4)</f>
        <v>-6.8233125855244678E-5</v>
      </c>
      <c r="T4" s="26">
        <v>0</v>
      </c>
      <c r="U4" s="17"/>
      <c r="V4">
        <v>0.2</v>
      </c>
      <c r="W4" s="7">
        <f>1050*(0.4*V4/10.3)^2</f>
        <v>6.3342445093788308E-2</v>
      </c>
      <c r="X4">
        <f t="shared" ref="X4:X11" si="2">0.1*H4*(1-W4/F4)</f>
        <v>-4.0849264547356611E-5</v>
      </c>
      <c r="Y4">
        <v>0</v>
      </c>
      <c r="Z4" s="11"/>
      <c r="AA4">
        <v>0.15</v>
      </c>
      <c r="AB4" s="7">
        <f>1050*(0.4*AA4/10.3)^2</f>
        <v>3.5630125365255907E-2</v>
      </c>
      <c r="AC4">
        <f t="shared" ref="AC4:AC11" si="3">0.1*H4*(1-AB4/F4)</f>
        <v>-1.9550705752332525E-5</v>
      </c>
      <c r="AD4">
        <v>0</v>
      </c>
      <c r="AE4" s="11"/>
      <c r="AF4">
        <v>0.1</v>
      </c>
      <c r="AG4" s="7">
        <f>1050*(0.4*AF4/10.3)^2</f>
        <v>1.5835611273447077E-2</v>
      </c>
      <c r="AH4">
        <f t="shared" ref="AH4:AH11" si="4">0.1*H4*(1-AG4/F4)</f>
        <v>-4.3374494701724841E-6</v>
      </c>
      <c r="AI4">
        <v>0</v>
      </c>
      <c r="AJ4" s="11"/>
      <c r="AK4">
        <v>7.4999999999999997E-2</v>
      </c>
      <c r="AL4" s="7">
        <f>1050*(0.4*AK4/10.3)^2</f>
        <v>8.9075313413139769E-3</v>
      </c>
      <c r="AM4">
        <f t="shared" ref="AM4:AM11" si="5">0.1*H4*(1-AL4/F4)</f>
        <v>9.8719022858353812E-7</v>
      </c>
      <c r="AN4">
        <f>AM4*0.071</f>
        <v>7.0090506229431205E-8</v>
      </c>
      <c r="AO4" s="11"/>
      <c r="AP4">
        <v>0.05</v>
      </c>
      <c r="AQ4" s="7">
        <f>1050*(0.4*AP4/10.3)^2</f>
        <v>3.9589028183617692E-3</v>
      </c>
      <c r="AR4">
        <f t="shared" ref="AR4:AR11" si="6">0.1*H4*(1-AQ4/F4)</f>
        <v>4.7905042991235488E-6</v>
      </c>
      <c r="AS4">
        <f>AR4*0.031</f>
        <v>1.4850563327283001E-7</v>
      </c>
      <c r="AT4" s="11"/>
      <c r="AU4">
        <v>2.5000000000000001E-2</v>
      </c>
      <c r="AV4" s="7">
        <f>1050*(0.4*AU4/10.3)^2</f>
        <v>9.8972570459044231E-4</v>
      </c>
      <c r="AW4">
        <f t="shared" ref="AW4:AW11" si="7">0.1*H4*(1-AV4/F4)</f>
        <v>7.0724927414475564E-6</v>
      </c>
      <c r="AX4">
        <f>AW4*0.004</f>
        <v>2.8289970965790226E-8</v>
      </c>
      <c r="AZ4">
        <v>1E-3</v>
      </c>
      <c r="BA4" s="7">
        <f>1050*(0.4*AZ4/10.3)^2</f>
        <v>1.5835611273447073E-6</v>
      </c>
      <c r="BB4" s="10">
        <f t="shared" ref="BB4:BB11" si="8">0.1*H4*(1-BA4/F4)</f>
        <v>7.8319384950529861E-6</v>
      </c>
      <c r="BC4">
        <v>0</v>
      </c>
      <c r="BE4">
        <f>(T4+Y4+AD4+AI4+AN4+AS4+AX4+BC4)*BG4</f>
        <v>2.7700621594515372E-6</v>
      </c>
      <c r="BG4" s="47">
        <v>11.22</v>
      </c>
    </row>
    <row r="5" spans="1:59" x14ac:dyDescent="0.25">
      <c r="A5" s="4">
        <v>1.1000000000000001</v>
      </c>
      <c r="B5" s="5">
        <v>12.589</v>
      </c>
      <c r="C5" s="5">
        <v>2.589</v>
      </c>
      <c r="D5" s="27">
        <f t="shared" ref="D5:D11" si="9">(B5*B6)^0.5</f>
        <v>14.125263218786403</v>
      </c>
      <c r="E5" s="6" t="s">
        <v>5</v>
      </c>
      <c r="F5" s="45">
        <f t="shared" ref="F5:F11" si="10">0.065*1600*9.8*B5/1000000</f>
        <v>1.28307088E-2</v>
      </c>
      <c r="G5" s="18">
        <v>5.1999999999999998E-2</v>
      </c>
      <c r="H5" s="10">
        <f t="shared" si="0"/>
        <v>1.2414768240000002E-4</v>
      </c>
      <c r="I5" s="7">
        <f t="shared" ref="I5:I11" si="11">100*H5</f>
        <v>1.2414768240000002E-2</v>
      </c>
      <c r="J5">
        <v>0.1</v>
      </c>
      <c r="L5">
        <v>0.3</v>
      </c>
      <c r="M5" s="7">
        <f t="shared" ref="M5:M11" si="12">1050*(0.4*L5/10.3)^2</f>
        <v>0.14252050146102363</v>
      </c>
      <c r="N5">
        <f t="shared" ref="N5:N11" si="13">0.1*H5*(1-M5/F5)</f>
        <v>-1.2548556311871577E-4</v>
      </c>
      <c r="O5">
        <f>N5*0.101</f>
        <v>-1.2674041874990294E-5</v>
      </c>
      <c r="P5" s="17"/>
      <c r="Q5" s="26">
        <v>0.25</v>
      </c>
      <c r="R5" s="7">
        <f t="shared" ref="R5:R11" si="14">1050*(0.4*Q5/10.3)^2</f>
        <v>9.8972570459044187E-2</v>
      </c>
      <c r="S5">
        <f t="shared" si="1"/>
        <v>-8.3349350759108164E-5</v>
      </c>
      <c r="T5" s="26">
        <v>0</v>
      </c>
      <c r="U5" s="17"/>
      <c r="V5">
        <v>0.2</v>
      </c>
      <c r="W5" s="7">
        <f t="shared" ref="W5:W11" si="15">1050*(0.4*V5/10.3)^2</f>
        <v>6.3342445093788308E-2</v>
      </c>
      <c r="X5">
        <f t="shared" si="2"/>
        <v>-4.887426791942925E-5</v>
      </c>
      <c r="Y5">
        <v>0</v>
      </c>
      <c r="Z5" s="11"/>
      <c r="AA5">
        <v>0.15</v>
      </c>
      <c r="AB5" s="7">
        <f t="shared" ref="AB5:AB11" si="16">1050*(0.4*AA5/10.3)^2</f>
        <v>3.5630125365255907E-2</v>
      </c>
      <c r="AC5">
        <f t="shared" si="3"/>
        <v>-2.2060314599678938E-5</v>
      </c>
      <c r="AD5">
        <v>0</v>
      </c>
      <c r="AE5" s="11"/>
      <c r="AF5">
        <v>0.1</v>
      </c>
      <c r="AG5" s="7">
        <f t="shared" ref="AG5:AG11" si="17">1050*(0.4*AF5/10.3)^2</f>
        <v>1.5835611273447077E-2</v>
      </c>
      <c r="AH5">
        <f t="shared" si="4"/>
        <v>-2.9074907998573107E-6</v>
      </c>
      <c r="AI5">
        <v>0</v>
      </c>
      <c r="AJ5" s="11"/>
      <c r="AK5">
        <v>7.4999999999999997E-2</v>
      </c>
      <c r="AL5" s="7">
        <f t="shared" ref="AL5:AL11" si="18">1050*(0.4*AK5/10.3)^2</f>
        <v>8.9075313413139769E-3</v>
      </c>
      <c r="AM5">
        <f t="shared" si="5"/>
        <v>3.7959975300802685E-6</v>
      </c>
      <c r="AN5">
        <f t="shared" ref="AN5:AN11" si="19">AM5*0.071</f>
        <v>2.6951582463569906E-7</v>
      </c>
      <c r="AO5" s="11"/>
      <c r="AP5">
        <v>0.05</v>
      </c>
      <c r="AQ5" s="7">
        <f t="shared" ref="AQ5:AQ11" si="20">1050*(0.4*AP5/10.3)^2</f>
        <v>3.9589028183617692E-3</v>
      </c>
      <c r="AR5">
        <f t="shared" si="6"/>
        <v>8.5842034800356752E-6</v>
      </c>
      <c r="AS5">
        <f t="shared" ref="AS5:AS11" si="21">AR5*0.031</f>
        <v>2.6611030788110595E-7</v>
      </c>
      <c r="AT5" s="11"/>
      <c r="AU5">
        <v>2.5000000000000001E-2</v>
      </c>
      <c r="AV5" s="7">
        <f t="shared" ref="AV5:AV11" si="22">1050*(0.4*AU5/10.3)^2</f>
        <v>9.8972570459044231E-4</v>
      </c>
      <c r="AW5">
        <f t="shared" si="7"/>
        <v>1.1457127050008921E-5</v>
      </c>
      <c r="AX5">
        <f t="shared" ref="AX5:AX11" si="23">AW5*0.004</f>
        <v>4.5828508200035686E-8</v>
      </c>
      <c r="AZ5">
        <v>1E-3</v>
      </c>
      <c r="BA5" s="7">
        <f t="shared" ref="BA5:BA11" si="24">1050*(0.4*AZ5/10.3)^2</f>
        <v>1.5835611273447073E-6</v>
      </c>
      <c r="BB5" s="10">
        <f t="shared" si="8"/>
        <v>1.2413236014096018E-5</v>
      </c>
      <c r="BC5">
        <v>0</v>
      </c>
      <c r="BE5">
        <f t="shared" ref="BE5:BE11" si="25">(T5+Y5+AD5+AI5+AN5+AS5+AX5+BC5)*BG5</f>
        <v>8.2159540733289583E-6</v>
      </c>
      <c r="BG5" s="47">
        <v>14.13</v>
      </c>
    </row>
    <row r="6" spans="1:59" x14ac:dyDescent="0.25">
      <c r="A6" s="4">
        <v>1.2</v>
      </c>
      <c r="B6" s="5">
        <v>15.849</v>
      </c>
      <c r="C6" s="5">
        <v>3.26</v>
      </c>
      <c r="D6" s="27">
        <f t="shared" si="9"/>
        <v>17.783000224933925</v>
      </c>
      <c r="E6" s="6" t="s">
        <v>6</v>
      </c>
      <c r="F6" s="45">
        <f t="shared" si="10"/>
        <v>1.6153300799999999E-2</v>
      </c>
      <c r="G6" s="18">
        <v>5.8999999999999997E-2</v>
      </c>
      <c r="H6" s="10">
        <f t="shared" si="0"/>
        <v>1.9676850480000003E-4</v>
      </c>
      <c r="I6" s="7">
        <f t="shared" si="11"/>
        <v>1.9676850480000004E-2</v>
      </c>
      <c r="J6">
        <v>0.1</v>
      </c>
      <c r="L6">
        <v>0.3</v>
      </c>
      <c r="M6" s="7">
        <f t="shared" si="12"/>
        <v>0.14252050146102363</v>
      </c>
      <c r="N6">
        <f t="shared" si="13"/>
        <v>-1.5393191421180739E-4</v>
      </c>
      <c r="O6">
        <f t="shared" ref="O6:O11" si="26">N6*0.101</f>
        <v>-1.5547123335392547E-5</v>
      </c>
      <c r="P6" s="17"/>
      <c r="Q6" s="26">
        <v>0.25</v>
      </c>
      <c r="R6" s="7">
        <f t="shared" si="14"/>
        <v>9.8972570459044187E-2</v>
      </c>
      <c r="S6">
        <f t="shared" si="1"/>
        <v>-1.0088479166708847E-4</v>
      </c>
      <c r="T6" s="26">
        <v>0</v>
      </c>
      <c r="U6" s="17"/>
      <c r="V6">
        <v>0.2</v>
      </c>
      <c r="W6" s="7">
        <f t="shared" si="15"/>
        <v>6.3342445093788308E-2</v>
      </c>
      <c r="X6">
        <f t="shared" si="2"/>
        <v>-5.748260049413665E-5</v>
      </c>
      <c r="Y6">
        <v>0</v>
      </c>
      <c r="Z6" s="11"/>
      <c r="AA6">
        <v>0.15</v>
      </c>
      <c r="AB6" s="7">
        <f t="shared" si="16"/>
        <v>3.5630125365255907E-2</v>
      </c>
      <c r="AC6">
        <f t="shared" si="3"/>
        <v>-2.3725340692951844E-5</v>
      </c>
      <c r="AD6">
        <v>0</v>
      </c>
      <c r="AE6" s="11"/>
      <c r="AF6">
        <v>0.1</v>
      </c>
      <c r="AG6" s="7">
        <f t="shared" si="17"/>
        <v>1.5835611273447077E-2</v>
      </c>
      <c r="AH6">
        <f t="shared" si="4"/>
        <v>3.8698773646583905E-7</v>
      </c>
      <c r="AI6">
        <f t="shared" ref="AI6:AI11" si="27">AH6*0.231</f>
        <v>8.9394167123608825E-8</v>
      </c>
      <c r="AJ6" s="11"/>
      <c r="AK6">
        <v>7.4999999999999997E-2</v>
      </c>
      <c r="AL6" s="7">
        <f t="shared" si="18"/>
        <v>8.9075313413139769E-3</v>
      </c>
      <c r="AM6">
        <f t="shared" si="5"/>
        <v>8.8263026867620411E-6</v>
      </c>
      <c r="AN6">
        <f t="shared" si="19"/>
        <v>6.2666749076010491E-7</v>
      </c>
      <c r="AO6" s="11"/>
      <c r="AP6">
        <v>0.05</v>
      </c>
      <c r="AQ6" s="7">
        <f t="shared" si="20"/>
        <v>3.9589028183617692E-3</v>
      </c>
      <c r="AR6">
        <f t="shared" si="6"/>
        <v>1.4854384794116462E-5</v>
      </c>
      <c r="AS6">
        <f t="shared" si="21"/>
        <v>4.6048592861761033E-7</v>
      </c>
      <c r="AT6" s="11"/>
      <c r="AU6">
        <v>2.5000000000000001E-2</v>
      </c>
      <c r="AV6" s="7">
        <f t="shared" si="22"/>
        <v>9.8972570459044231E-4</v>
      </c>
      <c r="AW6">
        <f t="shared" si="7"/>
        <v>1.8471234058529116E-5</v>
      </c>
      <c r="AX6">
        <f t="shared" si="23"/>
        <v>7.3884936234116461E-8</v>
      </c>
      <c r="AZ6">
        <v>1E-3</v>
      </c>
      <c r="BA6" s="7">
        <f t="shared" si="24"/>
        <v>1.5835611273447073E-6</v>
      </c>
      <c r="BB6" s="10">
        <f t="shared" si="8"/>
        <v>1.967492149372565E-5</v>
      </c>
      <c r="BC6">
        <v>0</v>
      </c>
      <c r="BE6">
        <f t="shared" si="25"/>
        <v>2.2232690254236137E-5</v>
      </c>
      <c r="BG6" s="47">
        <v>17.78</v>
      </c>
    </row>
    <row r="7" spans="1:59" x14ac:dyDescent="0.25">
      <c r="A7" s="4">
        <v>1.3</v>
      </c>
      <c r="B7" s="5">
        <v>19.952999999999999</v>
      </c>
      <c r="C7" s="5">
        <v>4.1040000000000001</v>
      </c>
      <c r="D7" s="27">
        <f t="shared" si="9"/>
        <v>22.387483266325404</v>
      </c>
      <c r="E7" s="6" t="s">
        <v>7</v>
      </c>
      <c r="F7" s="45">
        <f t="shared" si="10"/>
        <v>2.0336097600000002E-2</v>
      </c>
      <c r="G7" s="18">
        <v>6.6000000000000003E-2</v>
      </c>
      <c r="H7" s="10">
        <f t="shared" si="0"/>
        <v>3.118574088E-4</v>
      </c>
      <c r="I7" s="7">
        <f t="shared" si="11"/>
        <v>3.118574088E-2</v>
      </c>
      <c r="J7">
        <v>0.1</v>
      </c>
      <c r="L7">
        <v>0.3</v>
      </c>
      <c r="M7" s="7">
        <f t="shared" si="12"/>
        <v>0.14252050146102363</v>
      </c>
      <c r="N7">
        <f t="shared" si="13"/>
        <v>-1.8737179734951482E-4</v>
      </c>
      <c r="O7">
        <f t="shared" si="26"/>
        <v>-1.8924551532300997E-5</v>
      </c>
      <c r="P7" s="17"/>
      <c r="Q7" s="26">
        <v>0.25</v>
      </c>
      <c r="R7" s="7">
        <f t="shared" si="14"/>
        <v>9.8972570459044187E-2</v>
      </c>
      <c r="S7">
        <f t="shared" si="1"/>
        <v>-1.2059032733494082E-4</v>
      </c>
      <c r="T7" s="26">
        <v>0</v>
      </c>
      <c r="U7" s="17"/>
      <c r="V7">
        <v>0.2</v>
      </c>
      <c r="W7" s="7">
        <f t="shared" si="15"/>
        <v>6.3342445093788308E-2</v>
      </c>
      <c r="X7">
        <f t="shared" si="2"/>
        <v>-6.5950942777562185E-5</v>
      </c>
      <c r="Y7">
        <v>0</v>
      </c>
      <c r="Z7" s="11"/>
      <c r="AA7">
        <v>0.15</v>
      </c>
      <c r="AB7" s="7">
        <f t="shared" si="16"/>
        <v>3.5630125365255907E-2</v>
      </c>
      <c r="AC7">
        <f t="shared" si="3"/>
        <v>-2.3453643677378702E-5</v>
      </c>
      <c r="AD7">
        <v>0</v>
      </c>
      <c r="AE7" s="11"/>
      <c r="AF7">
        <v>0.1</v>
      </c>
      <c r="AG7" s="7">
        <f t="shared" si="17"/>
        <v>1.5835611273447077E-2</v>
      </c>
      <c r="AH7">
        <f t="shared" si="4"/>
        <v>6.9015699656094575E-6</v>
      </c>
      <c r="AI7">
        <f t="shared" si="27"/>
        <v>1.5942626620557847E-6</v>
      </c>
      <c r="AJ7" s="11"/>
      <c r="AK7">
        <v>7.4999999999999997E-2</v>
      </c>
      <c r="AL7" s="7">
        <f t="shared" si="18"/>
        <v>8.9075313413139769E-3</v>
      </c>
      <c r="AM7">
        <f t="shared" si="5"/>
        <v>1.7525894740655324E-5</v>
      </c>
      <c r="AN7">
        <f t="shared" si="19"/>
        <v>1.2443385265865278E-6</v>
      </c>
      <c r="AO7" s="11"/>
      <c r="AP7">
        <v>0.05</v>
      </c>
      <c r="AQ7" s="7">
        <f t="shared" si="20"/>
        <v>3.9589028183617692E-3</v>
      </c>
      <c r="AR7">
        <f t="shared" si="6"/>
        <v>2.5114698151402365E-5</v>
      </c>
      <c r="AS7">
        <f t="shared" si="21"/>
        <v>7.7855564269347336E-7</v>
      </c>
      <c r="AT7" s="11"/>
      <c r="AU7">
        <v>2.5000000000000001E-2</v>
      </c>
      <c r="AV7" s="7">
        <f t="shared" si="22"/>
        <v>9.8972570459044231E-4</v>
      </c>
      <c r="AW7">
        <f t="shared" si="7"/>
        <v>2.9667980197850593E-5</v>
      </c>
      <c r="AX7">
        <f t="shared" si="23"/>
        <v>1.1867192079140237E-7</v>
      </c>
      <c r="AZ7">
        <v>1E-3</v>
      </c>
      <c r="BA7" s="7">
        <f t="shared" si="24"/>
        <v>1.5835611273447073E-6</v>
      </c>
      <c r="BB7" s="10">
        <f t="shared" si="8"/>
        <v>3.1183312462908564E-5</v>
      </c>
      <c r="BC7">
        <v>0</v>
      </c>
      <c r="BE7">
        <f t="shared" si="25"/>
        <v>8.3645205760127743E-5</v>
      </c>
      <c r="BG7" s="47">
        <v>22.39</v>
      </c>
    </row>
    <row r="8" spans="1:59" x14ac:dyDescent="0.25">
      <c r="A8" s="4">
        <v>1.4</v>
      </c>
      <c r="B8" s="5">
        <v>25.119</v>
      </c>
      <c r="C8" s="5">
        <v>5.1660000000000004</v>
      </c>
      <c r="D8" s="27">
        <f t="shared" si="9"/>
        <v>28.184004985097488</v>
      </c>
      <c r="E8" s="6" t="s">
        <v>10</v>
      </c>
      <c r="F8" s="45">
        <f t="shared" si="10"/>
        <v>2.5601284800000002E-2</v>
      </c>
      <c r="G8" s="18">
        <v>7.4999999999999997E-2</v>
      </c>
      <c r="H8" s="10">
        <f t="shared" si="0"/>
        <v>4.9425484080000011E-4</v>
      </c>
      <c r="I8" s="7">
        <f t="shared" si="11"/>
        <v>4.9425484080000012E-2</v>
      </c>
      <c r="J8">
        <v>0.1</v>
      </c>
      <c r="L8">
        <v>0.3</v>
      </c>
      <c r="M8" s="7">
        <f t="shared" si="12"/>
        <v>0.14252050146102363</v>
      </c>
      <c r="N8">
        <f t="shared" si="13"/>
        <v>-2.2572261223880041E-4</v>
      </c>
      <c r="O8">
        <f t="shared" si="26"/>
        <v>-2.2797983836118844E-5</v>
      </c>
      <c r="P8" s="17"/>
      <c r="Q8" s="26">
        <v>0.25</v>
      </c>
      <c r="R8" s="7">
        <f t="shared" si="14"/>
        <v>9.8972570459044187E-2</v>
      </c>
      <c r="S8">
        <f t="shared" si="1"/>
        <v>-1.4164958280805582E-4</v>
      </c>
      <c r="T8" s="26">
        <v>0</v>
      </c>
      <c r="U8" s="17"/>
      <c r="V8">
        <v>0.2</v>
      </c>
      <c r="W8" s="7">
        <f t="shared" si="15"/>
        <v>6.3342445093788308E-2</v>
      </c>
      <c r="X8">
        <f t="shared" si="2"/>
        <v>-7.2862558728355772E-5</v>
      </c>
      <c r="Y8">
        <v>0</v>
      </c>
      <c r="Z8" s="11"/>
      <c r="AA8">
        <v>0.15</v>
      </c>
      <c r="AB8" s="7">
        <f t="shared" si="16"/>
        <v>3.5630125365255907E-2</v>
      </c>
      <c r="AC8">
        <f t="shared" si="3"/>
        <v>-1.9361539999700096E-5</v>
      </c>
      <c r="AD8">
        <v>0</v>
      </c>
      <c r="AE8" s="11"/>
      <c r="AF8">
        <v>0.1</v>
      </c>
      <c r="AG8" s="7">
        <f t="shared" si="17"/>
        <v>1.5835611273447077E-2</v>
      </c>
      <c r="AH8">
        <f t="shared" si="4"/>
        <v>1.8853473377911066E-5</v>
      </c>
      <c r="AI8">
        <f t="shared" si="27"/>
        <v>4.3551523502974564E-6</v>
      </c>
      <c r="AJ8" s="11"/>
      <c r="AK8">
        <v>7.4999999999999997E-2</v>
      </c>
      <c r="AL8" s="7">
        <f t="shared" si="18"/>
        <v>8.9075313413139769E-3</v>
      </c>
      <c r="AM8">
        <f t="shared" si="5"/>
        <v>3.2228728060074987E-5</v>
      </c>
      <c r="AN8">
        <f t="shared" si="19"/>
        <v>2.2882396922653237E-6</v>
      </c>
      <c r="AO8" s="11"/>
      <c r="AP8">
        <v>0.05</v>
      </c>
      <c r="AQ8" s="7">
        <f t="shared" si="20"/>
        <v>3.9589028183617692E-3</v>
      </c>
      <c r="AR8">
        <f t="shared" si="6"/>
        <v>4.1782481404477772E-5</v>
      </c>
      <c r="AS8">
        <f t="shared" si="21"/>
        <v>1.2952569235388108E-6</v>
      </c>
      <c r="AT8" s="11"/>
      <c r="AU8">
        <v>2.5000000000000001E-2</v>
      </c>
      <c r="AV8" s="7">
        <f t="shared" si="22"/>
        <v>9.8972570459044231E-4</v>
      </c>
      <c r="AW8">
        <f t="shared" si="7"/>
        <v>4.7514733411119446E-5</v>
      </c>
      <c r="AX8">
        <f t="shared" si="23"/>
        <v>1.9005893364447779E-7</v>
      </c>
      <c r="AZ8">
        <v>1E-3</v>
      </c>
      <c r="BA8" s="7">
        <f t="shared" si="24"/>
        <v>1.5835611273447073E-6</v>
      </c>
      <c r="BB8" s="10">
        <f t="shared" si="8"/>
        <v>4.9422426878929803E-5</v>
      </c>
      <c r="BC8">
        <v>0</v>
      </c>
      <c r="BE8">
        <f t="shared" si="25"/>
        <v>2.2906698861484417E-4</v>
      </c>
      <c r="BG8" s="47">
        <v>28.18</v>
      </c>
    </row>
    <row r="9" spans="1:59" x14ac:dyDescent="0.25">
      <c r="A9" s="4">
        <v>1.5</v>
      </c>
      <c r="B9" s="5">
        <v>31.623000000000001</v>
      </c>
      <c r="C9" s="5">
        <v>6.5039999999999996</v>
      </c>
      <c r="D9" s="27">
        <f t="shared" si="9"/>
        <v>35.481590339216758</v>
      </c>
      <c r="E9" s="6" t="s">
        <v>11</v>
      </c>
      <c r="F9" s="45">
        <f t="shared" si="10"/>
        <v>3.2230161600000001E-2</v>
      </c>
      <c r="G9" s="18">
        <v>8.5000000000000006E-2</v>
      </c>
      <c r="H9" s="10">
        <f t="shared" si="0"/>
        <v>7.8334246853333357E-4</v>
      </c>
      <c r="I9" s="7">
        <f t="shared" si="11"/>
        <v>7.8334246853333359E-2</v>
      </c>
      <c r="J9">
        <v>0.1</v>
      </c>
      <c r="L9">
        <v>0.3</v>
      </c>
      <c r="M9" s="7">
        <f t="shared" si="12"/>
        <v>0.14252050146102363</v>
      </c>
      <c r="N9">
        <f t="shared" si="13"/>
        <v>-2.6805669842534877E-4</v>
      </c>
      <c r="O9">
        <f t="shared" si="26"/>
        <v>-2.7073726540960227E-5</v>
      </c>
      <c r="P9" s="17"/>
      <c r="Q9" s="26">
        <v>0.25</v>
      </c>
      <c r="R9" s="7">
        <f t="shared" si="14"/>
        <v>9.8972570459044187E-2</v>
      </c>
      <c r="S9">
        <f t="shared" si="1"/>
        <v>-1.6221502070130699E-4</v>
      </c>
      <c r="T9" s="26">
        <v>0</v>
      </c>
      <c r="U9" s="17"/>
      <c r="V9">
        <v>0.2</v>
      </c>
      <c r="W9" s="7">
        <f t="shared" si="15"/>
        <v>6.3342445093788308E-2</v>
      </c>
      <c r="X9">
        <f t="shared" si="2"/>
        <v>-7.5617284381636544E-5</v>
      </c>
      <c r="Y9">
        <v>0</v>
      </c>
      <c r="Z9" s="11"/>
      <c r="AA9">
        <v>0.15</v>
      </c>
      <c r="AB9" s="7">
        <f t="shared" si="16"/>
        <v>3.5630125365255907E-2</v>
      </c>
      <c r="AC9">
        <f t="shared" si="3"/>
        <v>-8.2634894663371719E-6</v>
      </c>
      <c r="AD9">
        <v>0</v>
      </c>
      <c r="AE9" s="11"/>
      <c r="AF9">
        <v>0.1</v>
      </c>
      <c r="AG9" s="7">
        <f t="shared" si="17"/>
        <v>1.5835611273447077E-2</v>
      </c>
      <c r="AH9">
        <f t="shared" si="4"/>
        <v>3.9846364044590884E-5</v>
      </c>
      <c r="AI9">
        <f t="shared" si="27"/>
        <v>9.2045100943004952E-6</v>
      </c>
      <c r="AJ9" s="11"/>
      <c r="AK9">
        <v>7.4999999999999997E-2</v>
      </c>
      <c r="AL9" s="7">
        <f t="shared" si="18"/>
        <v>8.9075313413139769E-3</v>
      </c>
      <c r="AM9">
        <f t="shared" si="5"/>
        <v>5.6684812773415724E-5</v>
      </c>
      <c r="AN9">
        <f t="shared" si="19"/>
        <v>4.0246217069125164E-6</v>
      </c>
      <c r="AO9" s="11"/>
      <c r="AP9">
        <v>0.05</v>
      </c>
      <c r="AQ9" s="7">
        <f t="shared" si="20"/>
        <v>3.9589028183617692E-3</v>
      </c>
      <c r="AR9">
        <f t="shared" si="6"/>
        <v>6.8712276151147741E-5</v>
      </c>
      <c r="AS9">
        <f t="shared" si="21"/>
        <v>2.1300805606855799E-6</v>
      </c>
      <c r="AT9" s="11"/>
      <c r="AU9">
        <v>2.5000000000000001E-2</v>
      </c>
      <c r="AV9" s="7">
        <f t="shared" si="22"/>
        <v>9.8972570459044231E-4</v>
      </c>
      <c r="AW9">
        <f t="shared" si="7"/>
        <v>7.5928754177786948E-5</v>
      </c>
      <c r="AX9">
        <f t="shared" si="23"/>
        <v>3.0371501671114779E-7</v>
      </c>
      <c r="AZ9">
        <v>1E-3</v>
      </c>
      <c r="BA9" s="7">
        <f t="shared" si="24"/>
        <v>1.5835611273447073E-6</v>
      </c>
      <c r="BB9" s="10">
        <f t="shared" si="8"/>
        <v>7.8330398065052495E-5</v>
      </c>
      <c r="BC9">
        <v>0</v>
      </c>
      <c r="BE9">
        <f t="shared" si="25"/>
        <v>5.5572066339307344E-4</v>
      </c>
      <c r="BG9" s="47">
        <v>35.479999999999997</v>
      </c>
    </row>
    <row r="10" spans="1:59" x14ac:dyDescent="0.25">
      <c r="A10" s="4">
        <v>1.6</v>
      </c>
      <c r="B10" s="5">
        <v>39.811</v>
      </c>
      <c r="C10" s="5">
        <v>8.1880000000000006</v>
      </c>
      <c r="D10" s="27">
        <f t="shared" si="9"/>
        <v>44.668641226256256</v>
      </c>
      <c r="E10" s="6" t="s">
        <v>12</v>
      </c>
      <c r="F10" s="45">
        <f t="shared" si="10"/>
        <v>4.0575371200000002E-2</v>
      </c>
      <c r="G10" s="18">
        <v>9.7000000000000003E-2</v>
      </c>
      <c r="H10" s="10">
        <f t="shared" si="0"/>
        <v>1.2415122278222224E-3</v>
      </c>
      <c r="I10" s="7">
        <f t="shared" si="11"/>
        <v>0.12415122278222224</v>
      </c>
      <c r="J10">
        <v>0.1</v>
      </c>
      <c r="L10">
        <v>0.3</v>
      </c>
      <c r="M10" s="7">
        <f t="shared" si="12"/>
        <v>0.14252050146102363</v>
      </c>
      <c r="N10">
        <f t="shared" si="13"/>
        <v>-3.1192844832431284E-4</v>
      </c>
      <c r="O10">
        <f t="shared" si="26"/>
        <v>-3.1504773280755599E-5</v>
      </c>
      <c r="P10" s="17"/>
      <c r="Q10" s="26">
        <v>0.25</v>
      </c>
      <c r="R10" s="7">
        <f t="shared" si="14"/>
        <v>9.8972570459044187E-2</v>
      </c>
      <c r="S10">
        <f t="shared" si="1"/>
        <v>-1.7868188215287156E-4</v>
      </c>
      <c r="T10" s="26">
        <v>0</v>
      </c>
      <c r="U10" s="17"/>
      <c r="V10">
        <v>0.2</v>
      </c>
      <c r="W10" s="7">
        <f t="shared" si="15"/>
        <v>6.3342445093788308E-2</v>
      </c>
      <c r="X10">
        <f t="shared" si="2"/>
        <v>-6.9661964376237879E-5</v>
      </c>
      <c r="Y10">
        <v>0</v>
      </c>
      <c r="Z10" s="11"/>
      <c r="AA10">
        <v>0.15</v>
      </c>
      <c r="AB10" s="7">
        <f t="shared" si="16"/>
        <v>3.5630125365255907E-2</v>
      </c>
      <c r="AC10">
        <f t="shared" si="3"/>
        <v>1.5131305005588478E-5</v>
      </c>
      <c r="AD10">
        <f t="shared" ref="AD10:AD11" si="28">AC10*0.24</f>
        <v>3.6315132013412346E-6</v>
      </c>
      <c r="AE10" s="11"/>
      <c r="AF10">
        <v>0.1</v>
      </c>
      <c r="AG10" s="7">
        <f t="shared" si="17"/>
        <v>1.5835611273447077E-2</v>
      </c>
      <c r="AH10">
        <f t="shared" si="4"/>
        <v>7.5697925992607222E-5</v>
      </c>
      <c r="AI10">
        <f t="shared" si="27"/>
        <v>1.748622090429227E-5</v>
      </c>
      <c r="AJ10" s="11"/>
      <c r="AK10">
        <v>7.4999999999999997E-2</v>
      </c>
      <c r="AL10" s="7">
        <f t="shared" si="18"/>
        <v>8.9075313413139769E-3</v>
      </c>
      <c r="AM10">
        <f t="shared" si="5"/>
        <v>9.6896243338063799E-5</v>
      </c>
      <c r="AN10">
        <f t="shared" si="19"/>
        <v>6.8796332770025289E-6</v>
      </c>
      <c r="AO10" s="11"/>
      <c r="AP10">
        <v>0.05</v>
      </c>
      <c r="AQ10" s="7">
        <f t="shared" si="20"/>
        <v>3.9589028183617692E-3</v>
      </c>
      <c r="AR10">
        <f t="shared" si="6"/>
        <v>1.1203789858481849E-4</v>
      </c>
      <c r="AS10">
        <f t="shared" si="21"/>
        <v>3.4731748561293732E-6</v>
      </c>
      <c r="AT10" s="11"/>
      <c r="AU10">
        <v>2.5000000000000001E-2</v>
      </c>
      <c r="AV10" s="7">
        <f t="shared" si="22"/>
        <v>9.8972570459044231E-4</v>
      </c>
      <c r="AW10">
        <f t="shared" si="7"/>
        <v>1.2112289173287131E-4</v>
      </c>
      <c r="AX10">
        <f t="shared" si="23"/>
        <v>4.8449156693148529E-7</v>
      </c>
      <c r="AZ10">
        <v>1E-3</v>
      </c>
      <c r="BA10" s="7">
        <f t="shared" si="24"/>
        <v>1.5835611273447073E-6</v>
      </c>
      <c r="BB10" s="10">
        <f t="shared" si="8"/>
        <v>1.2414637745254329E-4</v>
      </c>
      <c r="BC10">
        <v>0</v>
      </c>
      <c r="BE10">
        <f t="shared" si="25"/>
        <v>1.4274313601004801E-3</v>
      </c>
      <c r="BG10" s="47">
        <v>44.67</v>
      </c>
    </row>
    <row r="11" spans="1:59" x14ac:dyDescent="0.25">
      <c r="A11" s="4">
        <v>1.7</v>
      </c>
      <c r="B11" s="5">
        <v>50.119</v>
      </c>
      <c r="C11" s="5">
        <v>10.308</v>
      </c>
      <c r="D11" s="27">
        <f t="shared" si="9"/>
        <v>56.234406051811376</v>
      </c>
      <c r="E11" s="6" t="s">
        <v>13</v>
      </c>
      <c r="F11" s="45">
        <f t="shared" si="10"/>
        <v>5.1081284800000001E-2</v>
      </c>
      <c r="G11" s="18">
        <v>0.11</v>
      </c>
      <c r="H11" s="10">
        <f t="shared" si="0"/>
        <v>1.9676585749333333E-3</v>
      </c>
      <c r="I11" s="7">
        <f t="shared" si="11"/>
        <v>0.19676585749333333</v>
      </c>
      <c r="J11">
        <v>0.1</v>
      </c>
      <c r="L11">
        <v>0.3</v>
      </c>
      <c r="M11" s="7">
        <f t="shared" si="12"/>
        <v>0.14252050146102363</v>
      </c>
      <c r="N11">
        <f t="shared" si="13"/>
        <v>-3.5222520234700532E-4</v>
      </c>
      <c r="O11">
        <f t="shared" si="26"/>
        <v>-3.557474543704754E-5</v>
      </c>
      <c r="P11" s="17"/>
      <c r="Q11" s="26">
        <v>0.25</v>
      </c>
      <c r="R11" s="7">
        <f t="shared" si="14"/>
        <v>9.8972570459044187E-2</v>
      </c>
      <c r="S11">
        <f t="shared" si="1"/>
        <v>-1.8447793406245737E-4</v>
      </c>
      <c r="T11" s="26">
        <v>0</v>
      </c>
      <c r="U11" s="17"/>
      <c r="V11">
        <v>0.2</v>
      </c>
      <c r="W11" s="7">
        <f t="shared" si="15"/>
        <v>6.3342445093788308E-2</v>
      </c>
      <c r="X11">
        <f t="shared" si="2"/>
        <v>-4.7230169102372845E-5</v>
      </c>
      <c r="Y11">
        <v>0</v>
      </c>
      <c r="Z11" s="11"/>
      <c r="AA11">
        <v>0.15</v>
      </c>
      <c r="AB11" s="7">
        <f t="shared" si="16"/>
        <v>3.5630125365255907E-2</v>
      </c>
      <c r="AC11">
        <f t="shared" si="3"/>
        <v>5.9518092533248677E-5</v>
      </c>
      <c r="AD11">
        <f t="shared" si="28"/>
        <v>1.4284342207979682E-5</v>
      </c>
      <c r="AE11" s="11"/>
      <c r="AF11">
        <v>0.1</v>
      </c>
      <c r="AG11" s="7">
        <f t="shared" si="17"/>
        <v>1.5835611273447077E-2</v>
      </c>
      <c r="AH11">
        <f t="shared" si="4"/>
        <v>1.3576685084440679E-4</v>
      </c>
      <c r="AI11">
        <f t="shared" si="27"/>
        <v>3.1362142545057967E-5</v>
      </c>
      <c r="AJ11" s="11"/>
      <c r="AK11">
        <v>7.4999999999999997E-2</v>
      </c>
      <c r="AL11" s="7">
        <f t="shared" si="18"/>
        <v>8.9075313413139769E-3</v>
      </c>
      <c r="AM11">
        <f t="shared" si="5"/>
        <v>1.6245391625331217E-4</v>
      </c>
      <c r="AN11">
        <f t="shared" si="19"/>
        <v>1.1534228053985162E-5</v>
      </c>
      <c r="AO11" s="11"/>
      <c r="AP11">
        <v>0.05</v>
      </c>
      <c r="AQ11" s="7">
        <f t="shared" si="20"/>
        <v>3.9589028183617692E-3</v>
      </c>
      <c r="AR11">
        <f t="shared" si="6"/>
        <v>1.815161058311017E-4</v>
      </c>
      <c r="AS11">
        <f t="shared" si="21"/>
        <v>5.6269992807641529E-6</v>
      </c>
      <c r="AT11" s="11"/>
      <c r="AU11">
        <v>2.5000000000000001E-2</v>
      </c>
      <c r="AV11" s="7">
        <f t="shared" si="22"/>
        <v>9.8972570459044231E-4</v>
      </c>
      <c r="AW11">
        <f t="shared" si="7"/>
        <v>1.9295341957777543E-4</v>
      </c>
      <c r="AX11">
        <f t="shared" si="23"/>
        <v>7.7181367831110178E-7</v>
      </c>
      <c r="AZ11">
        <v>1E-3</v>
      </c>
      <c r="BA11" s="7">
        <f t="shared" si="24"/>
        <v>1.5835611273447073E-6</v>
      </c>
      <c r="BB11" s="10">
        <f t="shared" si="8"/>
        <v>1.9675975759266844E-4</v>
      </c>
      <c r="BC11">
        <v>0</v>
      </c>
      <c r="BE11">
        <f t="shared" si="25"/>
        <v>3.5750767338276939E-3</v>
      </c>
      <c r="BG11" s="47">
        <v>56.23</v>
      </c>
    </row>
    <row r="12" spans="1:59" x14ac:dyDescent="0.25">
      <c r="A12" s="4">
        <v>1.8</v>
      </c>
      <c r="B12" s="5">
        <v>63.095999999999997</v>
      </c>
      <c r="C12" s="5">
        <v>12.977</v>
      </c>
      <c r="D12" s="5"/>
      <c r="G12" s="18">
        <v>0.124</v>
      </c>
      <c r="I12" s="11" t="s">
        <v>18</v>
      </c>
      <c r="J12" s="11">
        <f>SUM(J4:J11)</f>
        <v>0.79999999999999993</v>
      </c>
      <c r="O12" s="46">
        <v>0</v>
      </c>
      <c r="P12" s="17"/>
      <c r="Q12" s="26"/>
      <c r="R12" s="26"/>
      <c r="S12" s="26"/>
      <c r="T12" s="48">
        <v>0</v>
      </c>
      <c r="U12" s="17"/>
      <c r="Y12" s="46">
        <v>0</v>
      </c>
      <c r="Z12" s="11"/>
      <c r="AD12" s="46">
        <f>SUM(AD10:AD11)</f>
        <v>1.7915855409320916E-5</v>
      </c>
      <c r="AE12" s="11"/>
      <c r="AI12" s="46">
        <f>SUM(AI6:AI11)</f>
        <v>6.4091682723127578E-5</v>
      </c>
      <c r="AJ12" s="11"/>
      <c r="AN12" s="46">
        <f>SUM(AN4:AN11)</f>
        <v>2.6937335078377296E-5</v>
      </c>
      <c r="AO12" s="11"/>
      <c r="AS12" s="46">
        <f>SUM(AS4:AS11)</f>
        <v>1.4179169133582937E-5</v>
      </c>
      <c r="AT12" s="11"/>
      <c r="AX12" s="46">
        <f>SUM(AX4:AX11)</f>
        <v>2.0167545317895573E-6</v>
      </c>
      <c r="BC12" s="46">
        <v>0</v>
      </c>
      <c r="BD12" s="11" t="s">
        <v>108</v>
      </c>
      <c r="BE12" s="55">
        <f>SUM(BE4:BE11)</f>
        <v>5.9041596581832362E-3</v>
      </c>
    </row>
    <row r="13" spans="1:59" x14ac:dyDescent="0.25">
      <c r="F13" t="s">
        <v>52</v>
      </c>
      <c r="G13" t="s">
        <v>56</v>
      </c>
      <c r="M13" t="s">
        <v>58</v>
      </c>
      <c r="O13" s="26"/>
      <c r="P13" s="17"/>
      <c r="Q13" s="26"/>
      <c r="R13" s="26"/>
      <c r="S13" s="26"/>
      <c r="T13" s="26"/>
      <c r="U13" s="17"/>
      <c r="Y13" s="25"/>
      <c r="Z13" s="11"/>
      <c r="AD13" s="25">
        <f>100*AD12/0.00012514</f>
        <v>14.316649679815338</v>
      </c>
      <c r="AI13" s="25">
        <f>100*AI12/0.00012514</f>
        <v>51.215984276112813</v>
      </c>
      <c r="AJ13" s="11"/>
      <c r="AN13" s="25">
        <f>100*AN12/0.00012514</f>
        <v>21.525759212383964</v>
      </c>
      <c r="AO13" s="11"/>
      <c r="AS13" s="25">
        <f>100*AS12/0.00012514</f>
        <v>11.330644984483726</v>
      </c>
      <c r="AT13" s="25"/>
      <c r="AX13" s="25">
        <f>100*AX12/0.00012514</f>
        <v>1.6115986349604901</v>
      </c>
      <c r="BB13" t="s">
        <v>92</v>
      </c>
      <c r="BD13" s="11" t="s">
        <v>90</v>
      </c>
      <c r="BE13" s="55">
        <f>O12+T12+Y12+AD12+AI12+AN12+AS12+AX12+BC12</f>
        <v>1.2514079687619829E-4</v>
      </c>
      <c r="BF13" s="55">
        <f>BE12/BE13</f>
        <v>47.180134740745004</v>
      </c>
      <c r="BG13" t="s">
        <v>91</v>
      </c>
    </row>
    <row r="14" spans="1:59" x14ac:dyDescent="0.25">
      <c r="A14" t="s">
        <v>15</v>
      </c>
      <c r="B14" s="6" t="s">
        <v>84</v>
      </c>
      <c r="C14" t="s">
        <v>85</v>
      </c>
      <c r="L14" t="s">
        <v>48</v>
      </c>
      <c r="O14"/>
      <c r="P14" s="17"/>
      <c r="Q14" s="26"/>
      <c r="R14" s="26"/>
      <c r="S14" s="26"/>
      <c r="T14" s="26"/>
      <c r="U14" s="17"/>
      <c r="Y14"/>
      <c r="Z14" s="11"/>
      <c r="AD14"/>
      <c r="AE14" s="11"/>
      <c r="AI14"/>
      <c r="AJ14" s="11"/>
      <c r="AN14"/>
      <c r="AO14" s="11"/>
      <c r="AS14"/>
      <c r="AT14" s="11"/>
      <c r="BC14">
        <f>AD13+AI13+AN13+AS13+AX13</f>
        <v>100.00063678775632</v>
      </c>
    </row>
    <row r="15" spans="1:59" x14ac:dyDescent="0.25">
      <c r="A15" s="42" t="s">
        <v>36</v>
      </c>
      <c r="B15" s="43">
        <v>0.10100000000000001</v>
      </c>
      <c r="C15" s="43">
        <v>5.0000000000000001E-3</v>
      </c>
      <c r="L15" t="s">
        <v>26</v>
      </c>
      <c r="O15"/>
      <c r="P15" s="17"/>
      <c r="Q15" s="26"/>
      <c r="R15" s="26"/>
      <c r="S15" s="26"/>
      <c r="T15" s="26"/>
      <c r="U15" s="17"/>
      <c r="Y15"/>
      <c r="Z15" s="11"/>
      <c r="AD15"/>
      <c r="AE15" s="11"/>
      <c r="AI15"/>
      <c r="AJ15" s="11"/>
      <c r="AN15"/>
      <c r="AO15" s="11"/>
      <c r="AS15"/>
      <c r="AT15" s="11"/>
      <c r="BE15" t="s">
        <v>79</v>
      </c>
    </row>
    <row r="16" spans="1:59" ht="15.75" customHeight="1" x14ac:dyDescent="0.25">
      <c r="A16" s="42" t="s">
        <v>38</v>
      </c>
      <c r="B16" s="43">
        <v>0.13600000000000001</v>
      </c>
      <c r="C16" s="43">
        <v>2.1000000000000001E-2</v>
      </c>
      <c r="D16" s="25"/>
      <c r="E16" s="34"/>
      <c r="F16" s="25"/>
      <c r="G16" s="25"/>
      <c r="L16" t="s">
        <v>27</v>
      </c>
      <c r="O16"/>
      <c r="P16" s="17"/>
      <c r="Q16" s="26"/>
      <c r="R16" s="26"/>
      <c r="S16" s="26"/>
      <c r="T16" s="26"/>
      <c r="U16" s="17"/>
      <c r="Y16"/>
      <c r="Z16" s="11"/>
      <c r="AD16"/>
      <c r="AE16" s="11"/>
      <c r="AI16"/>
      <c r="AJ16" s="11"/>
      <c r="AN16"/>
      <c r="AO16" s="11"/>
      <c r="AS16"/>
      <c r="AT16" s="11"/>
    </row>
    <row r="17" spans="1:46" x14ac:dyDescent="0.25">
      <c r="A17" s="42" t="s">
        <v>37</v>
      </c>
      <c r="B17" s="43">
        <v>0.186</v>
      </c>
      <c r="C17" s="43">
        <v>8.3000000000000004E-2</v>
      </c>
      <c r="D17" s="25"/>
      <c r="E17" s="34"/>
      <c r="F17" s="25"/>
      <c r="G17" s="25"/>
      <c r="L17" s="37" t="s">
        <v>59</v>
      </c>
      <c r="M17" s="1" t="s">
        <v>57</v>
      </c>
      <c r="O17"/>
      <c r="P17" s="17"/>
      <c r="Q17" s="37" t="s">
        <v>59</v>
      </c>
      <c r="R17" s="1" t="s">
        <v>57</v>
      </c>
      <c r="S17" s="26"/>
      <c r="T17" s="26"/>
      <c r="U17" s="17"/>
      <c r="V17" s="37" t="s">
        <v>59</v>
      </c>
      <c r="W17" s="1" t="s">
        <v>57</v>
      </c>
      <c r="Y17"/>
      <c r="Z17" s="11"/>
      <c r="AA17" s="37" t="s">
        <v>59</v>
      </c>
      <c r="AB17" s="1" t="s">
        <v>57</v>
      </c>
      <c r="AD17"/>
      <c r="AE17" s="11"/>
      <c r="AF17" s="37" t="s">
        <v>59</v>
      </c>
      <c r="AG17" s="1" t="s">
        <v>57</v>
      </c>
      <c r="AI17"/>
      <c r="AJ17" s="11"/>
      <c r="AK17" s="37" t="s">
        <v>59</v>
      </c>
      <c r="AL17" s="1" t="s">
        <v>57</v>
      </c>
      <c r="AN17"/>
      <c r="AO17" s="11"/>
      <c r="AP17" s="37" t="s">
        <v>59</v>
      </c>
      <c r="AQ17" s="1" t="s">
        <v>57</v>
      </c>
      <c r="AS17"/>
      <c r="AT17" s="11"/>
    </row>
    <row r="18" spans="1:46" x14ac:dyDescent="0.25">
      <c r="A18" s="42" t="s">
        <v>39</v>
      </c>
      <c r="B18" s="43">
        <v>0.24</v>
      </c>
      <c r="C18" s="43">
        <v>0.17199999999999999</v>
      </c>
      <c r="D18" s="25"/>
      <c r="E18" s="34"/>
      <c r="F18" s="25"/>
      <c r="G18" s="34"/>
      <c r="L18">
        <v>0.3</v>
      </c>
      <c r="M18">
        <f>0.0015*1050*L18^2</f>
        <v>0.14174999999999999</v>
      </c>
      <c r="O18"/>
      <c r="P18" s="17"/>
      <c r="Q18" s="26">
        <v>0.25</v>
      </c>
      <c r="R18">
        <f>0.0015*1050*Q18^2</f>
        <v>9.8437499999999997E-2</v>
      </c>
      <c r="S18" s="26"/>
      <c r="T18" s="26"/>
      <c r="U18" s="17"/>
      <c r="V18">
        <v>0.2</v>
      </c>
      <c r="W18">
        <f>0.0015*1050*V18^2</f>
        <v>6.3000000000000014E-2</v>
      </c>
      <c r="Y18"/>
      <c r="Z18" s="11"/>
      <c r="AA18">
        <v>0.15</v>
      </c>
      <c r="AB18">
        <f>0.0015*1050*AA18^2</f>
        <v>3.5437499999999997E-2</v>
      </c>
      <c r="AD18"/>
      <c r="AE18" s="11"/>
      <c r="AI18"/>
      <c r="AJ18" s="11"/>
      <c r="AN18"/>
      <c r="AO18" s="11"/>
      <c r="AS18"/>
      <c r="AT18" s="11"/>
    </row>
    <row r="19" spans="1:46" x14ac:dyDescent="0.25">
      <c r="A19" s="42" t="s">
        <v>40</v>
      </c>
      <c r="B19" s="43">
        <v>0.23100000000000001</v>
      </c>
      <c r="C19" s="43">
        <v>0.22500000000000001</v>
      </c>
      <c r="D19" s="25"/>
      <c r="E19" s="34"/>
      <c r="F19" s="25"/>
      <c r="G19" s="34"/>
      <c r="O19"/>
      <c r="P19" s="17"/>
      <c r="Q19" s="26"/>
      <c r="R19" s="26"/>
      <c r="S19" s="26"/>
      <c r="T19" s="26"/>
      <c r="U19" s="17"/>
      <c r="Y19"/>
      <c r="Z19" s="11"/>
      <c r="AD19"/>
      <c r="AE19" s="11"/>
      <c r="AI19"/>
      <c r="AJ19" s="11"/>
      <c r="AN19"/>
      <c r="AO19" s="11"/>
      <c r="AS19"/>
      <c r="AT19" s="11"/>
    </row>
    <row r="20" spans="1:46" x14ac:dyDescent="0.25">
      <c r="A20" s="42" t="s">
        <v>41</v>
      </c>
      <c r="B20" s="43">
        <v>7.0999999999999994E-2</v>
      </c>
      <c r="C20" s="43">
        <v>0.11</v>
      </c>
      <c r="D20" s="25"/>
      <c r="E20" s="34"/>
      <c r="F20" s="25"/>
      <c r="G20" s="34"/>
      <c r="O20"/>
      <c r="P20" s="17"/>
      <c r="Q20" s="26"/>
      <c r="R20" s="26"/>
      <c r="S20" s="26"/>
      <c r="T20" s="26"/>
      <c r="U20" s="17"/>
      <c r="Y20"/>
      <c r="Z20" s="11"/>
      <c r="AD20"/>
      <c r="AE20" s="11"/>
      <c r="AI20"/>
      <c r="AJ20" s="11"/>
      <c r="AN20"/>
      <c r="AO20" s="11"/>
      <c r="AS20"/>
      <c r="AT20" s="11"/>
    </row>
    <row r="21" spans="1:46" x14ac:dyDescent="0.25">
      <c r="A21" s="42" t="s">
        <v>42</v>
      </c>
      <c r="B21" s="43">
        <v>3.1E-2</v>
      </c>
      <c r="C21" s="43">
        <v>0.13600000000000001</v>
      </c>
      <c r="D21" s="25"/>
      <c r="E21" s="34"/>
      <c r="F21" s="25"/>
      <c r="G21" s="34"/>
      <c r="O21"/>
      <c r="P21" s="17"/>
      <c r="Q21" s="26"/>
      <c r="R21" s="26"/>
      <c r="S21" s="26"/>
      <c r="T21" s="26"/>
      <c r="U21" s="17"/>
      <c r="Y21"/>
      <c r="Z21" s="11"/>
      <c r="AD21"/>
      <c r="AE21" s="11"/>
      <c r="AI21"/>
      <c r="AJ21" s="11"/>
      <c r="AN21"/>
      <c r="AO21" s="11"/>
      <c r="AS21"/>
      <c r="AT21" s="11"/>
    </row>
    <row r="22" spans="1:46" x14ac:dyDescent="0.25">
      <c r="A22" s="42" t="s">
        <v>43</v>
      </c>
      <c r="B22" s="43">
        <v>4.0000000000000001E-3</v>
      </c>
      <c r="C22" s="43">
        <v>0.14099999999999999</v>
      </c>
      <c r="D22" s="25"/>
      <c r="E22" s="34"/>
      <c r="F22" s="25"/>
      <c r="G22" s="25"/>
      <c r="O22"/>
      <c r="P22" s="17"/>
      <c r="Q22" s="26"/>
      <c r="R22" s="26"/>
      <c r="S22" s="26"/>
      <c r="T22" s="26"/>
      <c r="U22" s="17"/>
      <c r="Y22"/>
      <c r="Z22" s="11"/>
      <c r="AD22"/>
      <c r="AE22" s="11"/>
      <c r="AI22"/>
      <c r="AJ22" s="11"/>
      <c r="AN22"/>
      <c r="AO22" s="11"/>
      <c r="AS22"/>
      <c r="AT22" s="11"/>
    </row>
    <row r="23" spans="1:46" x14ac:dyDescent="0.25">
      <c r="A23" s="42" t="s">
        <v>44</v>
      </c>
      <c r="B23" s="43">
        <v>0</v>
      </c>
      <c r="C23" s="43">
        <v>0.107</v>
      </c>
      <c r="O23"/>
      <c r="P23" s="17"/>
      <c r="Q23" s="26"/>
      <c r="R23" s="26"/>
      <c r="S23" s="26"/>
      <c r="T23" s="26"/>
      <c r="U23" s="17"/>
      <c r="Y23"/>
      <c r="Z23" s="11"/>
      <c r="AD23"/>
      <c r="AE23" s="11"/>
      <c r="AI23"/>
      <c r="AJ23" s="11"/>
      <c r="AN23"/>
      <c r="AO23" s="11"/>
      <c r="AS23"/>
      <c r="AT23" s="11"/>
    </row>
    <row r="24" spans="1:46" s="25" customFormat="1" ht="28.5" customHeight="1" x14ac:dyDescent="0.25">
      <c r="E24" s="34"/>
      <c r="P24" s="26"/>
      <c r="Q24" s="26"/>
      <c r="R24" s="26"/>
      <c r="S24" s="26"/>
      <c r="T24" s="26"/>
      <c r="U24" s="26"/>
    </row>
    <row r="25" spans="1:46" s="25" customFormat="1" ht="31.5" x14ac:dyDescent="0.35">
      <c r="A25" s="31" t="s">
        <v>2</v>
      </c>
      <c r="B25" s="3" t="s">
        <v>3</v>
      </c>
      <c r="C25" s="31" t="s">
        <v>4</v>
      </c>
      <c r="D25" s="9" t="s">
        <v>14</v>
      </c>
      <c r="E25" s="6" t="s">
        <v>9</v>
      </c>
      <c r="F25" s="11" t="s">
        <v>96</v>
      </c>
      <c r="G25" s="11"/>
      <c r="H25" s="77" t="s">
        <v>110</v>
      </c>
      <c r="I25" s="60"/>
      <c r="P25" s="26"/>
      <c r="Q25" s="26"/>
      <c r="R25" s="26"/>
      <c r="S25" s="26"/>
      <c r="T25" s="26"/>
      <c r="U25" s="26"/>
    </row>
    <row r="26" spans="1:46" s="25" customFormat="1" x14ac:dyDescent="0.25">
      <c r="A26" s="4">
        <v>1</v>
      </c>
      <c r="B26" s="5">
        <v>10</v>
      </c>
      <c r="C26" s="4"/>
      <c r="D26" s="27">
        <f>(B26*B27)^0.5</f>
        <v>11.220071301021219</v>
      </c>
      <c r="E26" s="6" t="s">
        <v>8</v>
      </c>
      <c r="F26" s="11">
        <v>1</v>
      </c>
      <c r="G26" s="59">
        <f>D26^2.5</f>
        <v>421.68586336443809</v>
      </c>
      <c r="H26" s="4">
        <v>1</v>
      </c>
      <c r="I26" s="4"/>
      <c r="P26" s="26"/>
      <c r="Q26" s="26"/>
      <c r="R26" s="26"/>
      <c r="S26" s="26"/>
      <c r="T26" s="26"/>
      <c r="U26" s="26"/>
    </row>
    <row r="27" spans="1:46" s="25" customFormat="1" x14ac:dyDescent="0.25">
      <c r="A27" s="4">
        <v>1.1000000000000001</v>
      </c>
      <c r="B27" s="5">
        <v>12.589</v>
      </c>
      <c r="C27" s="5">
        <v>2.589</v>
      </c>
      <c r="D27" s="27">
        <f t="shared" ref="D27:D33" si="29">(B27*B28)^0.5</f>
        <v>14.125263218786403</v>
      </c>
      <c r="E27" s="6" t="s">
        <v>5</v>
      </c>
      <c r="F27" s="30">
        <f>G26*D27^-2.5</f>
        <v>0.56233830594750833</v>
      </c>
      <c r="H27" s="5">
        <v>0.56200000000000006</v>
      </c>
      <c r="I27" s="5"/>
      <c r="P27" s="26"/>
      <c r="Q27" s="26"/>
      <c r="R27" s="26"/>
      <c r="S27" s="26"/>
      <c r="T27" s="26"/>
      <c r="U27" s="26"/>
    </row>
    <row r="28" spans="1:46" s="25" customFormat="1" x14ac:dyDescent="0.25">
      <c r="A28" s="4">
        <v>1.2</v>
      </c>
      <c r="B28" s="5">
        <v>15.849</v>
      </c>
      <c r="C28" s="5">
        <v>3.26</v>
      </c>
      <c r="D28" s="27">
        <f t="shared" si="29"/>
        <v>17.783000224933925</v>
      </c>
      <c r="E28" s="6" t="s">
        <v>6</v>
      </c>
      <c r="F28" s="30">
        <f>G26*D28^-2.5</f>
        <v>0.31621062383559401</v>
      </c>
      <c r="H28" s="5">
        <v>0.316</v>
      </c>
      <c r="I28" s="5"/>
      <c r="P28" s="26"/>
      <c r="Q28" s="26"/>
      <c r="R28" s="26"/>
      <c r="S28" s="26"/>
      <c r="T28" s="26"/>
      <c r="U28" s="26"/>
    </row>
    <row r="29" spans="1:46" s="25" customFormat="1" x14ac:dyDescent="0.25">
      <c r="A29" s="4">
        <v>1.3</v>
      </c>
      <c r="B29" s="5">
        <v>19.952999999999999</v>
      </c>
      <c r="C29" s="5">
        <v>4.1040000000000001</v>
      </c>
      <c r="D29" s="27">
        <f t="shared" si="29"/>
        <v>22.387483266325404</v>
      </c>
      <c r="E29" s="6" t="s">
        <v>7</v>
      </c>
      <c r="F29" s="30">
        <f>G26*D29^-2.5</f>
        <v>0.17781805531525299</v>
      </c>
      <c r="H29" s="5">
        <v>0.17799999999999999</v>
      </c>
      <c r="I29" s="5"/>
      <c r="P29" s="26"/>
      <c r="Q29" s="26"/>
      <c r="R29" s="26"/>
      <c r="S29" s="26"/>
      <c r="T29" s="26"/>
      <c r="U29" s="26"/>
    </row>
    <row r="30" spans="1:46" s="25" customFormat="1" x14ac:dyDescent="0.25">
      <c r="A30" s="4">
        <v>1.4</v>
      </c>
      <c r="B30" s="5">
        <v>25.119</v>
      </c>
      <c r="C30" s="5">
        <v>5.1660000000000004</v>
      </c>
      <c r="D30" s="27">
        <f t="shared" si="29"/>
        <v>28.184004985097488</v>
      </c>
      <c r="E30" s="6" t="s">
        <v>10</v>
      </c>
      <c r="F30" s="30">
        <f>G26*D30^-2.5</f>
        <v>9.9995918626020197E-2</v>
      </c>
      <c r="H30" s="5">
        <v>0.1</v>
      </c>
      <c r="I30" s="5"/>
      <c r="P30" s="26"/>
      <c r="Q30" s="26"/>
      <c r="R30" s="26"/>
      <c r="S30" s="26"/>
      <c r="T30" s="26"/>
      <c r="U30" s="26"/>
    </row>
    <row r="31" spans="1:46" s="25" customFormat="1" x14ac:dyDescent="0.25">
      <c r="A31" s="4">
        <v>1.5</v>
      </c>
      <c r="B31" s="5">
        <v>31.623000000000001</v>
      </c>
      <c r="C31" s="5">
        <v>6.5039999999999996</v>
      </c>
      <c r="D31" s="27">
        <f t="shared" si="29"/>
        <v>35.481590339216758</v>
      </c>
      <c r="E31" s="6" t="s">
        <v>11</v>
      </c>
      <c r="F31" s="30">
        <f>G26*D31^-2.5</f>
        <v>5.6231717512955193E-2</v>
      </c>
      <c r="H31" s="5">
        <v>5.6000000000000001E-2</v>
      </c>
      <c r="I31" s="5"/>
      <c r="P31" s="26"/>
      <c r="Q31" s="26"/>
      <c r="R31" s="26"/>
      <c r="S31" s="26"/>
      <c r="T31" s="26"/>
      <c r="U31" s="26"/>
    </row>
    <row r="32" spans="1:46" s="25" customFormat="1" x14ac:dyDescent="0.25">
      <c r="A32" s="4">
        <v>1.6</v>
      </c>
      <c r="B32" s="5">
        <v>39.811</v>
      </c>
      <c r="C32" s="5">
        <v>8.1880000000000006</v>
      </c>
      <c r="D32" s="27">
        <f t="shared" si="29"/>
        <v>44.668641226256256</v>
      </c>
      <c r="E32" s="6" t="s">
        <v>12</v>
      </c>
      <c r="F32" s="30">
        <f>G26*D32^-2.5</f>
        <v>3.1621479606013338E-2</v>
      </c>
      <c r="H32" s="5">
        <v>3.2000000000000001E-2</v>
      </c>
      <c r="I32" s="5"/>
      <c r="P32" s="26"/>
      <c r="Q32" s="26"/>
      <c r="R32" s="26"/>
      <c r="S32" s="26"/>
      <c r="T32" s="26"/>
      <c r="U32" s="26"/>
    </row>
    <row r="33" spans="1:21" s="25" customFormat="1" x14ac:dyDescent="0.25">
      <c r="A33" s="4">
        <v>1.7</v>
      </c>
      <c r="B33" s="5">
        <v>50.119</v>
      </c>
      <c r="C33" s="5">
        <v>10.308</v>
      </c>
      <c r="D33" s="27">
        <f t="shared" si="29"/>
        <v>56.234406051811376</v>
      </c>
      <c r="E33" s="6" t="s">
        <v>13</v>
      </c>
      <c r="F33" s="30">
        <f>G26*D33^-2.5</f>
        <v>1.7782129173254481E-2</v>
      </c>
      <c r="H33" s="5">
        <v>1.7999999999999999E-2</v>
      </c>
      <c r="I33" s="5"/>
      <c r="P33" s="26"/>
      <c r="Q33" s="26"/>
      <c r="R33" s="26"/>
      <c r="S33" s="26"/>
      <c r="T33" s="26"/>
      <c r="U33" s="26"/>
    </row>
    <row r="34" spans="1:21" s="25" customFormat="1" x14ac:dyDescent="0.25">
      <c r="A34" s="4">
        <v>1.8</v>
      </c>
      <c r="B34" s="5">
        <v>63.095999999999997</v>
      </c>
      <c r="C34" s="5">
        <v>12.977</v>
      </c>
      <c r="D34" s="5"/>
      <c r="E34" s="6"/>
      <c r="P34" s="26"/>
      <c r="Q34" s="26"/>
      <c r="R34" s="26"/>
      <c r="S34" s="26"/>
      <c r="T34" s="26"/>
      <c r="U34" s="26"/>
    </row>
    <row r="35" spans="1:21" s="25" customFormat="1" x14ac:dyDescent="0.25">
      <c r="E35" s="34"/>
      <c r="O35" s="26"/>
    </row>
    <row r="36" spans="1:21" s="25" customFormat="1" x14ac:dyDescent="0.25">
      <c r="E36" s="34"/>
      <c r="O36" s="26"/>
    </row>
    <row r="37" spans="1:21" s="25" customFormat="1" x14ac:dyDescent="0.25">
      <c r="E37" s="34"/>
      <c r="O37" s="26"/>
    </row>
    <row r="38" spans="1:21" s="25" customFormat="1" x14ac:dyDescent="0.25">
      <c r="E38" s="34"/>
      <c r="O38" s="26"/>
    </row>
    <row r="39" spans="1:21" s="25" customFormat="1" x14ac:dyDescent="0.25">
      <c r="E39" s="34"/>
      <c r="O39" s="26"/>
    </row>
    <row r="40" spans="1:21" s="25" customFormat="1" x14ac:dyDescent="0.25">
      <c r="E40" s="34"/>
      <c r="O40" s="26"/>
    </row>
    <row r="41" spans="1:21" s="25" customFormat="1" x14ac:dyDescent="0.25">
      <c r="E41" s="34"/>
      <c r="O41" s="26"/>
    </row>
    <row r="42" spans="1:21" s="25" customFormat="1" x14ac:dyDescent="0.25">
      <c r="E42" s="34"/>
      <c r="O42" s="26"/>
    </row>
    <row r="43" spans="1:21" s="25" customFormat="1" x14ac:dyDescent="0.25">
      <c r="E43" s="34"/>
      <c r="O43" s="26"/>
    </row>
    <row r="44" spans="1:21" s="25" customFormat="1" x14ac:dyDescent="0.25">
      <c r="E44" s="34"/>
      <c r="O44" s="26"/>
    </row>
    <row r="45" spans="1:21" s="25" customFormat="1" x14ac:dyDescent="0.25">
      <c r="E45" s="34"/>
      <c r="O45" s="26"/>
    </row>
    <row r="46" spans="1:21" s="25" customFormat="1" x14ac:dyDescent="0.25">
      <c r="E46" s="34"/>
      <c r="O46" s="26"/>
    </row>
    <row r="47" spans="1:21" s="25" customFormat="1" x14ac:dyDescent="0.25">
      <c r="E47" s="34"/>
      <c r="O47" s="26"/>
    </row>
    <row r="48" spans="1:21" s="25" customFormat="1" x14ac:dyDescent="0.25">
      <c r="E48" s="34"/>
      <c r="O48" s="26"/>
    </row>
    <row r="49" spans="5:15" s="25" customFormat="1" x14ac:dyDescent="0.25">
      <c r="E49" s="34"/>
      <c r="O49" s="26"/>
    </row>
    <row r="50" spans="5:15" s="25" customFormat="1" x14ac:dyDescent="0.25">
      <c r="E50" s="34"/>
      <c r="O50" s="26"/>
    </row>
    <row r="51" spans="5:15" s="25" customFormat="1" x14ac:dyDescent="0.25">
      <c r="E51" s="34"/>
      <c r="O51" s="26"/>
    </row>
    <row r="52" spans="5:15" s="25" customFormat="1" x14ac:dyDescent="0.25">
      <c r="E52" s="34"/>
      <c r="O52" s="26"/>
    </row>
    <row r="53" spans="5:15" s="25" customFormat="1" x14ac:dyDescent="0.25">
      <c r="E53" s="34"/>
      <c r="O53" s="26"/>
    </row>
    <row r="54" spans="5:15" s="25" customFormat="1" x14ac:dyDescent="0.25">
      <c r="E54" s="34"/>
      <c r="O54" s="26"/>
    </row>
    <row r="55" spans="5:15" s="25" customFormat="1" x14ac:dyDescent="0.25">
      <c r="E55" s="34"/>
      <c r="O55" s="26"/>
    </row>
    <row r="56" spans="5:15" s="25" customFormat="1" x14ac:dyDescent="0.25">
      <c r="E56" s="34"/>
      <c r="O56" s="26"/>
    </row>
    <row r="57" spans="5:15" s="25" customFormat="1" x14ac:dyDescent="0.25">
      <c r="E57" s="34"/>
      <c r="O57" s="26"/>
    </row>
    <row r="58" spans="5:15" s="25" customFormat="1" x14ac:dyDescent="0.25">
      <c r="E58" s="34"/>
      <c r="O58" s="26"/>
    </row>
    <row r="59" spans="5:15" s="25" customFormat="1" x14ac:dyDescent="0.25">
      <c r="E59" s="34"/>
      <c r="O59" s="26"/>
    </row>
    <row r="60" spans="5:15" s="25" customFormat="1" x14ac:dyDescent="0.25">
      <c r="E60" s="34"/>
      <c r="O60" s="26"/>
    </row>
    <row r="61" spans="5:15" s="25" customFormat="1" x14ac:dyDescent="0.25">
      <c r="E61" s="34"/>
      <c r="O61" s="26"/>
    </row>
    <row r="62" spans="5:15" s="25" customFormat="1" x14ac:dyDescent="0.25">
      <c r="E62" s="34"/>
      <c r="O62" s="26"/>
    </row>
    <row r="63" spans="5:15" s="25" customFormat="1" x14ac:dyDescent="0.25">
      <c r="E63" s="34"/>
      <c r="O63" s="26"/>
    </row>
    <row r="64" spans="5:15" s="25" customFormat="1" x14ac:dyDescent="0.25">
      <c r="E64" s="34"/>
      <c r="O64" s="26"/>
    </row>
    <row r="65" spans="5:15" s="25" customFormat="1" x14ac:dyDescent="0.25">
      <c r="E65" s="34"/>
      <c r="O65" s="26"/>
    </row>
    <row r="66" spans="5:15" s="25" customFormat="1" x14ac:dyDescent="0.25">
      <c r="E66" s="34"/>
      <c r="O66" s="26"/>
    </row>
    <row r="67" spans="5:15" s="25" customFormat="1" x14ac:dyDescent="0.25">
      <c r="E67" s="34"/>
      <c r="O67" s="26"/>
    </row>
    <row r="68" spans="5:15" s="25" customFormat="1" x14ac:dyDescent="0.25">
      <c r="E68" s="34"/>
      <c r="O68" s="26"/>
    </row>
    <row r="69" spans="5:15" s="25" customFormat="1" x14ac:dyDescent="0.25">
      <c r="E69" s="34"/>
      <c r="O69" s="26"/>
    </row>
    <row r="70" spans="5:15" s="25" customFormat="1" x14ac:dyDescent="0.25">
      <c r="E70" s="34"/>
      <c r="O70" s="26"/>
    </row>
    <row r="71" spans="5:15" s="25" customFormat="1" x14ac:dyDescent="0.25">
      <c r="E71" s="34"/>
      <c r="O71" s="26"/>
    </row>
    <row r="72" spans="5:15" s="25" customFormat="1" x14ac:dyDescent="0.25">
      <c r="E72" s="34"/>
      <c r="O72" s="26"/>
    </row>
    <row r="73" spans="5:15" s="25" customFormat="1" x14ac:dyDescent="0.25">
      <c r="E73" s="34"/>
      <c r="O73" s="26"/>
    </row>
    <row r="74" spans="5:15" s="25" customFormat="1" x14ac:dyDescent="0.25">
      <c r="E74" s="34"/>
      <c r="O74" s="26"/>
    </row>
    <row r="75" spans="5:15" s="25" customFormat="1" x14ac:dyDescent="0.25">
      <c r="E75" s="34"/>
      <c r="O75" s="26"/>
    </row>
    <row r="76" spans="5:15" s="25" customFormat="1" x14ac:dyDescent="0.25">
      <c r="E76" s="34"/>
      <c r="O76" s="26"/>
    </row>
    <row r="77" spans="5:15" s="25" customFormat="1" x14ac:dyDescent="0.25">
      <c r="E77" s="34"/>
      <c r="O77" s="26"/>
    </row>
    <row r="78" spans="5:15" s="25" customFormat="1" x14ac:dyDescent="0.25">
      <c r="E78" s="34"/>
      <c r="O78" s="26"/>
    </row>
    <row r="79" spans="5:15" s="25" customFormat="1" x14ac:dyDescent="0.25">
      <c r="E79" s="34"/>
      <c r="O79" s="26"/>
    </row>
    <row r="80" spans="5:15" s="25" customFormat="1" x14ac:dyDescent="0.25">
      <c r="E80" s="34"/>
      <c r="O80" s="26"/>
    </row>
    <row r="81" spans="5:15" s="25" customFormat="1" x14ac:dyDescent="0.25">
      <c r="E81" s="34"/>
      <c r="O81" s="26"/>
    </row>
    <row r="82" spans="5:15" s="25" customFormat="1" x14ac:dyDescent="0.25">
      <c r="E82" s="34"/>
      <c r="O82" s="26"/>
    </row>
    <row r="83" spans="5:15" s="25" customFormat="1" x14ac:dyDescent="0.25">
      <c r="E83" s="34"/>
      <c r="O83" s="26"/>
    </row>
    <row r="84" spans="5:15" s="25" customFormat="1" x14ac:dyDescent="0.25">
      <c r="E84" s="34"/>
      <c r="O84" s="26"/>
    </row>
    <row r="85" spans="5:15" s="25" customFormat="1" x14ac:dyDescent="0.25">
      <c r="E85" s="34"/>
      <c r="O85" s="26"/>
    </row>
    <row r="86" spans="5:15" s="25" customFormat="1" x14ac:dyDescent="0.25">
      <c r="E86" s="34"/>
      <c r="O86" s="26"/>
    </row>
    <row r="87" spans="5:15" s="25" customFormat="1" x14ac:dyDescent="0.25">
      <c r="E87" s="34"/>
      <c r="O87" s="26"/>
    </row>
    <row r="88" spans="5:15" s="25" customFormat="1" x14ac:dyDescent="0.25">
      <c r="E88" s="34"/>
      <c r="O88" s="26"/>
    </row>
    <row r="89" spans="5:15" s="25" customFormat="1" x14ac:dyDescent="0.25">
      <c r="E89" s="34"/>
      <c r="O89" s="26"/>
    </row>
    <row r="90" spans="5:15" s="25" customFormat="1" x14ac:dyDescent="0.25">
      <c r="E90" s="34"/>
      <c r="O90" s="26"/>
    </row>
    <row r="91" spans="5:15" s="25" customFormat="1" x14ac:dyDescent="0.25">
      <c r="E91" s="34"/>
      <c r="O91" s="26"/>
    </row>
    <row r="92" spans="5:15" s="25" customFormat="1" x14ac:dyDescent="0.25">
      <c r="E92" s="34"/>
      <c r="O92" s="26"/>
    </row>
    <row r="93" spans="5:15" s="25" customFormat="1" x14ac:dyDescent="0.25">
      <c r="E93" s="34"/>
      <c r="O93" s="26"/>
    </row>
    <row r="94" spans="5:15" s="25" customFormat="1" x14ac:dyDescent="0.25">
      <c r="E94" s="34"/>
      <c r="O94" s="26"/>
    </row>
    <row r="95" spans="5:15" s="25" customFormat="1" x14ac:dyDescent="0.25">
      <c r="E95" s="34"/>
      <c r="O95" s="26"/>
    </row>
    <row r="96" spans="5:15" s="25" customFormat="1" x14ac:dyDescent="0.25">
      <c r="E96" s="34"/>
      <c r="O96" s="26"/>
    </row>
    <row r="97" spans="5:15" s="25" customFormat="1" x14ac:dyDescent="0.25">
      <c r="E97" s="34"/>
      <c r="O97" s="26"/>
    </row>
    <row r="98" spans="5:15" s="25" customFormat="1" x14ac:dyDescent="0.25">
      <c r="E98" s="34"/>
      <c r="O98" s="26"/>
    </row>
    <row r="99" spans="5:15" s="25" customFormat="1" x14ac:dyDescent="0.25">
      <c r="E99" s="34"/>
      <c r="O99" s="26"/>
    </row>
    <row r="100" spans="5:15" s="25" customFormat="1" x14ac:dyDescent="0.25">
      <c r="E100" s="34"/>
      <c r="O100" s="26"/>
    </row>
    <row r="101" spans="5:15" s="25" customFormat="1" x14ac:dyDescent="0.25">
      <c r="E101" s="34"/>
      <c r="O101" s="26"/>
    </row>
    <row r="102" spans="5:15" s="25" customFormat="1" x14ac:dyDescent="0.25">
      <c r="E102" s="34"/>
      <c r="O102" s="26"/>
    </row>
    <row r="103" spans="5:15" s="25" customFormat="1" x14ac:dyDescent="0.25">
      <c r="E103" s="34"/>
      <c r="O103" s="26"/>
    </row>
    <row r="104" spans="5:15" s="25" customFormat="1" x14ac:dyDescent="0.25">
      <c r="E104" s="34"/>
      <c r="O104" s="26"/>
    </row>
    <row r="105" spans="5:15" s="25" customFormat="1" x14ac:dyDescent="0.25">
      <c r="E105" s="34"/>
      <c r="O105" s="26"/>
    </row>
    <row r="106" spans="5:15" s="25" customFormat="1" x14ac:dyDescent="0.25">
      <c r="E106" s="34"/>
      <c r="O106" s="26"/>
    </row>
    <row r="107" spans="5:15" s="25" customFormat="1" x14ac:dyDescent="0.25">
      <c r="E107" s="34"/>
      <c r="O107" s="26"/>
    </row>
    <row r="108" spans="5:15" s="25" customFormat="1" x14ac:dyDescent="0.25">
      <c r="E108" s="34"/>
      <c r="O108" s="26"/>
    </row>
    <row r="109" spans="5:15" s="25" customFormat="1" x14ac:dyDescent="0.25">
      <c r="E109" s="34"/>
      <c r="O109" s="26"/>
    </row>
    <row r="110" spans="5:15" s="25" customFormat="1" x14ac:dyDescent="0.25">
      <c r="E110" s="34"/>
      <c r="O110" s="26"/>
    </row>
    <row r="111" spans="5:15" s="25" customFormat="1" x14ac:dyDescent="0.25">
      <c r="E111" s="34"/>
      <c r="O111" s="26"/>
    </row>
    <row r="112" spans="5:15" s="25" customFormat="1" x14ac:dyDescent="0.25">
      <c r="E112" s="34"/>
      <c r="O112" s="26"/>
    </row>
    <row r="113" spans="5:15" s="25" customFormat="1" x14ac:dyDescent="0.25">
      <c r="E113" s="34"/>
      <c r="O113" s="26"/>
    </row>
    <row r="114" spans="5:15" s="25" customFormat="1" x14ac:dyDescent="0.25">
      <c r="E114" s="34"/>
      <c r="O114" s="26"/>
    </row>
    <row r="115" spans="5:15" s="25" customFormat="1" x14ac:dyDescent="0.25">
      <c r="E115" s="34"/>
      <c r="O115" s="26"/>
    </row>
    <row r="116" spans="5:15" s="25" customFormat="1" x14ac:dyDescent="0.25">
      <c r="E116" s="34"/>
      <c r="O116" s="26"/>
    </row>
    <row r="117" spans="5:15" s="25" customFormat="1" x14ac:dyDescent="0.25">
      <c r="E117" s="34"/>
      <c r="O117" s="26"/>
    </row>
    <row r="118" spans="5:15" s="25" customFormat="1" x14ac:dyDescent="0.25">
      <c r="E118" s="34"/>
      <c r="O118" s="26"/>
    </row>
    <row r="119" spans="5:15" s="25" customFormat="1" x14ac:dyDescent="0.25">
      <c r="E119" s="34"/>
      <c r="O119" s="26"/>
    </row>
    <row r="120" spans="5:15" s="25" customFormat="1" x14ac:dyDescent="0.25">
      <c r="E120" s="34"/>
      <c r="O120" s="26"/>
    </row>
    <row r="121" spans="5:15" s="25" customFormat="1" x14ac:dyDescent="0.25">
      <c r="E121" s="34"/>
      <c r="O121" s="26"/>
    </row>
    <row r="122" spans="5:15" s="25" customFormat="1" x14ac:dyDescent="0.25">
      <c r="E122" s="34"/>
      <c r="O122" s="26"/>
    </row>
    <row r="123" spans="5:15" s="25" customFormat="1" x14ac:dyDescent="0.25">
      <c r="E123" s="34"/>
      <c r="O123" s="26"/>
    </row>
    <row r="124" spans="5:15" s="25" customFormat="1" x14ac:dyDescent="0.25">
      <c r="E124" s="34"/>
      <c r="O124" s="26"/>
    </row>
    <row r="125" spans="5:15" s="25" customFormat="1" x14ac:dyDescent="0.25">
      <c r="E125" s="34"/>
      <c r="O125" s="26"/>
    </row>
    <row r="126" spans="5:15" s="25" customFormat="1" x14ac:dyDescent="0.25">
      <c r="E126" s="34"/>
      <c r="O126" s="26"/>
    </row>
    <row r="127" spans="5:15" s="25" customFormat="1" x14ac:dyDescent="0.25">
      <c r="E127" s="34"/>
      <c r="O127" s="26"/>
    </row>
    <row r="128" spans="5:15" s="25" customFormat="1" x14ac:dyDescent="0.25">
      <c r="E128" s="34"/>
      <c r="O128" s="26"/>
    </row>
    <row r="129" spans="5:15" s="25" customFormat="1" x14ac:dyDescent="0.25">
      <c r="E129" s="34"/>
      <c r="O129" s="26"/>
    </row>
    <row r="130" spans="5:15" s="25" customFormat="1" x14ac:dyDescent="0.25">
      <c r="E130" s="34"/>
      <c r="O130" s="26"/>
    </row>
    <row r="131" spans="5:15" s="25" customFormat="1" x14ac:dyDescent="0.25">
      <c r="E131" s="34"/>
      <c r="O131" s="26"/>
    </row>
    <row r="132" spans="5:15" s="25" customFormat="1" x14ac:dyDescent="0.25">
      <c r="E132" s="34"/>
      <c r="O132" s="26"/>
    </row>
    <row r="133" spans="5:15" s="25" customFormat="1" x14ac:dyDescent="0.25">
      <c r="E133" s="34"/>
      <c r="O133" s="26"/>
    </row>
    <row r="134" spans="5:15" s="25" customFormat="1" x14ac:dyDescent="0.25">
      <c r="E134" s="34"/>
      <c r="O134" s="26"/>
    </row>
    <row r="135" spans="5:15" s="25" customFormat="1" x14ac:dyDescent="0.25">
      <c r="E135" s="34"/>
      <c r="O135" s="26"/>
    </row>
    <row r="136" spans="5:15" s="25" customFormat="1" x14ac:dyDescent="0.25">
      <c r="E136" s="34"/>
      <c r="O136" s="26"/>
    </row>
    <row r="137" spans="5:15" s="25" customFormat="1" x14ac:dyDescent="0.25">
      <c r="E137" s="34"/>
      <c r="O137" s="26"/>
    </row>
    <row r="138" spans="5:15" s="25" customFormat="1" x14ac:dyDescent="0.25">
      <c r="E138" s="34"/>
      <c r="O138" s="26"/>
    </row>
    <row r="139" spans="5:15" s="25" customFormat="1" x14ac:dyDescent="0.25">
      <c r="E139" s="34"/>
      <c r="O139" s="26"/>
    </row>
    <row r="140" spans="5:15" s="25" customFormat="1" x14ac:dyDescent="0.25">
      <c r="E140" s="34"/>
      <c r="O140" s="26"/>
    </row>
    <row r="141" spans="5:15" s="25" customFormat="1" x14ac:dyDescent="0.25">
      <c r="E141" s="34"/>
      <c r="O141" s="26"/>
    </row>
    <row r="142" spans="5:15" s="25" customFormat="1" x14ac:dyDescent="0.25">
      <c r="E142" s="34"/>
      <c r="O142" s="26"/>
    </row>
    <row r="143" spans="5:15" s="25" customFormat="1" x14ac:dyDescent="0.25">
      <c r="E143" s="34"/>
      <c r="O143" s="26"/>
    </row>
    <row r="144" spans="5:15" s="25" customFormat="1" x14ac:dyDescent="0.25">
      <c r="E144" s="34"/>
      <c r="O144" s="26"/>
    </row>
    <row r="145" spans="5:15" s="25" customFormat="1" x14ac:dyDescent="0.25">
      <c r="E145" s="34"/>
      <c r="O145" s="26"/>
    </row>
    <row r="146" spans="5:15" s="25" customFormat="1" x14ac:dyDescent="0.25">
      <c r="E146" s="34"/>
      <c r="O146" s="26"/>
    </row>
    <row r="147" spans="5:15" s="25" customFormat="1" x14ac:dyDescent="0.25">
      <c r="E147" s="34"/>
      <c r="O147" s="26"/>
    </row>
    <row r="148" spans="5:15" s="25" customFormat="1" x14ac:dyDescent="0.25">
      <c r="E148" s="34"/>
      <c r="O148" s="26"/>
    </row>
    <row r="149" spans="5:15" s="25" customFormat="1" x14ac:dyDescent="0.25">
      <c r="E149" s="34"/>
      <c r="O149" s="26"/>
    </row>
    <row r="150" spans="5:15" s="25" customFormat="1" x14ac:dyDescent="0.25">
      <c r="E150" s="34"/>
      <c r="O150" s="26"/>
    </row>
    <row r="151" spans="5:15" s="25" customFormat="1" x14ac:dyDescent="0.25">
      <c r="E151" s="34"/>
      <c r="O151" s="26"/>
    </row>
    <row r="152" spans="5:15" s="25" customFormat="1" x14ac:dyDescent="0.25">
      <c r="E152" s="34"/>
      <c r="O152" s="26"/>
    </row>
    <row r="153" spans="5:15" s="25" customFormat="1" x14ac:dyDescent="0.25">
      <c r="E153" s="34"/>
      <c r="O153" s="26"/>
    </row>
    <row r="154" spans="5:15" s="25" customFormat="1" x14ac:dyDescent="0.25">
      <c r="E154" s="34"/>
      <c r="O154" s="26"/>
    </row>
    <row r="155" spans="5:15" s="25" customFormat="1" x14ac:dyDescent="0.25">
      <c r="E155" s="34"/>
      <c r="O155" s="26"/>
    </row>
    <row r="156" spans="5:15" s="25" customFormat="1" x14ac:dyDescent="0.25">
      <c r="E156" s="34"/>
      <c r="O156" s="26"/>
    </row>
    <row r="157" spans="5:15" s="25" customFormat="1" x14ac:dyDescent="0.25">
      <c r="E157" s="34"/>
      <c r="O157" s="26"/>
    </row>
    <row r="158" spans="5:15" s="25" customFormat="1" x14ac:dyDescent="0.25">
      <c r="E158" s="34"/>
      <c r="O158" s="26"/>
    </row>
    <row r="159" spans="5:15" s="25" customFormat="1" x14ac:dyDescent="0.25">
      <c r="E159" s="34"/>
      <c r="O159" s="26"/>
    </row>
    <row r="160" spans="5:15" s="25" customFormat="1" x14ac:dyDescent="0.25">
      <c r="E160" s="34"/>
      <c r="O160" s="26"/>
    </row>
    <row r="161" spans="5:15" s="25" customFormat="1" x14ac:dyDescent="0.25">
      <c r="E161" s="34"/>
      <c r="O161" s="26"/>
    </row>
    <row r="162" spans="5:15" s="25" customFormat="1" x14ac:dyDescent="0.25">
      <c r="E162" s="34"/>
      <c r="O162" s="26"/>
    </row>
    <row r="163" spans="5:15" s="25" customFormat="1" x14ac:dyDescent="0.25">
      <c r="E163" s="34"/>
      <c r="O163" s="26"/>
    </row>
    <row r="164" spans="5:15" s="25" customFormat="1" x14ac:dyDescent="0.25">
      <c r="E164" s="34"/>
      <c r="O164" s="26"/>
    </row>
    <row r="165" spans="5:15" s="25" customFormat="1" x14ac:dyDescent="0.25">
      <c r="E165" s="34"/>
      <c r="O165" s="26"/>
    </row>
    <row r="166" spans="5:15" s="25" customFormat="1" x14ac:dyDescent="0.25">
      <c r="E166" s="34"/>
      <c r="O166" s="26"/>
    </row>
    <row r="167" spans="5:15" s="25" customFormat="1" x14ac:dyDescent="0.25">
      <c r="E167" s="34"/>
      <c r="O167" s="26"/>
    </row>
    <row r="168" spans="5:15" s="25" customFormat="1" x14ac:dyDescent="0.25">
      <c r="E168" s="34"/>
      <c r="O168" s="26"/>
    </row>
    <row r="169" spans="5:15" s="25" customFormat="1" x14ac:dyDescent="0.25">
      <c r="E169" s="34"/>
      <c r="O169" s="26"/>
    </row>
    <row r="170" spans="5:15" s="25" customFormat="1" x14ac:dyDescent="0.25">
      <c r="E170" s="34"/>
      <c r="O170" s="26"/>
    </row>
    <row r="171" spans="5:15" s="25" customFormat="1" x14ac:dyDescent="0.25">
      <c r="E171" s="34"/>
      <c r="O171" s="26"/>
    </row>
    <row r="172" spans="5:15" s="25" customFormat="1" x14ac:dyDescent="0.25">
      <c r="E172" s="34"/>
      <c r="O172" s="26"/>
    </row>
    <row r="173" spans="5:15" s="25" customFormat="1" x14ac:dyDescent="0.25">
      <c r="E173" s="34"/>
      <c r="O173" s="26"/>
    </row>
    <row r="174" spans="5:15" s="25" customFormat="1" x14ac:dyDescent="0.25">
      <c r="E174" s="34"/>
      <c r="O174" s="26"/>
    </row>
    <row r="175" spans="5:15" s="25" customFormat="1" x14ac:dyDescent="0.25">
      <c r="E175" s="34"/>
      <c r="O175" s="26"/>
    </row>
    <row r="176" spans="5:15" s="25" customFormat="1" x14ac:dyDescent="0.25">
      <c r="E176" s="34"/>
      <c r="O176" s="26"/>
    </row>
    <row r="177" spans="5:15" s="25" customFormat="1" x14ac:dyDescent="0.25">
      <c r="E177" s="34"/>
      <c r="O177" s="26"/>
    </row>
    <row r="178" spans="5:15" s="25" customFormat="1" x14ac:dyDescent="0.25">
      <c r="E178" s="34"/>
      <c r="O178" s="26"/>
    </row>
    <row r="179" spans="5:15" s="25" customFormat="1" x14ac:dyDescent="0.25">
      <c r="E179" s="34"/>
      <c r="O179" s="26"/>
    </row>
    <row r="180" spans="5:15" s="25" customFormat="1" x14ac:dyDescent="0.25">
      <c r="E180" s="34"/>
      <c r="O180" s="26"/>
    </row>
    <row r="181" spans="5:15" s="25" customFormat="1" x14ac:dyDescent="0.25">
      <c r="E181" s="34"/>
      <c r="O181" s="26"/>
    </row>
    <row r="182" spans="5:15" s="25" customFormat="1" x14ac:dyDescent="0.25">
      <c r="E182" s="34"/>
      <c r="O182" s="26"/>
    </row>
    <row r="183" spans="5:15" s="25" customFormat="1" x14ac:dyDescent="0.25">
      <c r="E183" s="34"/>
      <c r="O183" s="26"/>
    </row>
    <row r="184" spans="5:15" s="25" customFormat="1" x14ac:dyDescent="0.25">
      <c r="E184" s="34"/>
      <c r="O184" s="26"/>
    </row>
    <row r="185" spans="5:15" s="25" customFormat="1" x14ac:dyDescent="0.25">
      <c r="E185" s="34"/>
      <c r="O185" s="26"/>
    </row>
    <row r="186" spans="5:15" s="25" customFormat="1" x14ac:dyDescent="0.25">
      <c r="E186" s="34"/>
      <c r="O186" s="26"/>
    </row>
    <row r="187" spans="5:15" s="25" customFormat="1" x14ac:dyDescent="0.25">
      <c r="E187" s="34"/>
      <c r="O187" s="26"/>
    </row>
    <row r="188" spans="5:15" s="25" customFormat="1" x14ac:dyDescent="0.25">
      <c r="E188" s="34"/>
      <c r="O188" s="26"/>
    </row>
    <row r="189" spans="5:15" s="25" customFormat="1" x14ac:dyDescent="0.25">
      <c r="E189" s="34"/>
      <c r="O189" s="26"/>
    </row>
    <row r="190" spans="5:15" s="25" customFormat="1" x14ac:dyDescent="0.25">
      <c r="E190" s="34"/>
      <c r="O190" s="26"/>
    </row>
    <row r="191" spans="5:15" s="25" customFormat="1" x14ac:dyDescent="0.25">
      <c r="E191" s="34"/>
      <c r="O191" s="26"/>
    </row>
    <row r="192" spans="5:15" s="25" customFormat="1" x14ac:dyDescent="0.25">
      <c r="E192" s="34"/>
      <c r="O192" s="26"/>
    </row>
    <row r="193" spans="5:15" s="25" customFormat="1" x14ac:dyDescent="0.25">
      <c r="E193" s="34"/>
      <c r="O193" s="26"/>
    </row>
    <row r="194" spans="5:15" s="25" customFormat="1" x14ac:dyDescent="0.25">
      <c r="E194" s="34"/>
      <c r="O194" s="26"/>
    </row>
    <row r="195" spans="5:15" s="25" customFormat="1" x14ac:dyDescent="0.25">
      <c r="E195" s="34"/>
      <c r="O195" s="26"/>
    </row>
    <row r="196" spans="5:15" s="25" customFormat="1" x14ac:dyDescent="0.25">
      <c r="E196" s="34"/>
      <c r="O196" s="26"/>
    </row>
    <row r="197" spans="5:15" s="25" customFormat="1" x14ac:dyDescent="0.25">
      <c r="E197" s="34"/>
      <c r="O197" s="26"/>
    </row>
    <row r="198" spans="5:15" s="25" customFormat="1" x14ac:dyDescent="0.25">
      <c r="E198" s="34"/>
      <c r="O198" s="26"/>
    </row>
    <row r="199" spans="5:15" s="25" customFormat="1" x14ac:dyDescent="0.25">
      <c r="E199" s="34"/>
      <c r="O199" s="26"/>
    </row>
    <row r="200" spans="5:15" s="25" customFormat="1" x14ac:dyDescent="0.25">
      <c r="E200" s="34"/>
      <c r="O200" s="26"/>
    </row>
    <row r="201" spans="5:15" s="25" customFormat="1" x14ac:dyDescent="0.25">
      <c r="E201" s="34"/>
      <c r="O201" s="26"/>
    </row>
    <row r="202" spans="5:15" s="25" customFormat="1" x14ac:dyDescent="0.25">
      <c r="E202" s="34"/>
      <c r="O202" s="26"/>
    </row>
    <row r="203" spans="5:15" s="25" customFormat="1" x14ac:dyDescent="0.25">
      <c r="E203" s="34"/>
      <c r="O203" s="26"/>
    </row>
    <row r="204" spans="5:15" s="25" customFormat="1" x14ac:dyDescent="0.25">
      <c r="E204" s="34"/>
      <c r="O204" s="26"/>
    </row>
    <row r="205" spans="5:15" s="25" customFormat="1" x14ac:dyDescent="0.25">
      <c r="E205" s="34"/>
      <c r="O205" s="26"/>
    </row>
    <row r="206" spans="5:15" s="25" customFormat="1" x14ac:dyDescent="0.25">
      <c r="E206" s="34"/>
      <c r="O206" s="26"/>
    </row>
    <row r="207" spans="5:15" s="25" customFormat="1" x14ac:dyDescent="0.25">
      <c r="E207" s="34"/>
      <c r="O207" s="26"/>
    </row>
    <row r="208" spans="5:15" s="25" customFormat="1" x14ac:dyDescent="0.25">
      <c r="E208" s="34"/>
      <c r="O208" s="26"/>
    </row>
    <row r="209" spans="5:15" s="25" customFormat="1" x14ac:dyDescent="0.25">
      <c r="E209" s="34"/>
      <c r="O209" s="26"/>
    </row>
    <row r="210" spans="5:15" s="25" customFormat="1" x14ac:dyDescent="0.25">
      <c r="E210" s="34"/>
      <c r="O210" s="26"/>
    </row>
    <row r="211" spans="5:15" s="25" customFormat="1" x14ac:dyDescent="0.25">
      <c r="E211" s="34"/>
      <c r="O211" s="26"/>
    </row>
    <row r="212" spans="5:15" s="25" customFormat="1" x14ac:dyDescent="0.25">
      <c r="E212" s="34"/>
      <c r="O212" s="26"/>
    </row>
    <row r="213" spans="5:15" s="25" customFormat="1" x14ac:dyDescent="0.25">
      <c r="E213" s="34"/>
      <c r="O213" s="26"/>
    </row>
    <row r="214" spans="5:15" s="25" customFormat="1" x14ac:dyDescent="0.25">
      <c r="E214" s="34"/>
      <c r="O214" s="26"/>
    </row>
    <row r="215" spans="5:15" s="25" customFormat="1" x14ac:dyDescent="0.25">
      <c r="E215" s="34"/>
      <c r="O215" s="26"/>
    </row>
    <row r="216" spans="5:15" s="25" customFormat="1" x14ac:dyDescent="0.25">
      <c r="E216" s="34"/>
      <c r="O216" s="26"/>
    </row>
    <row r="217" spans="5:15" s="25" customFormat="1" x14ac:dyDescent="0.25">
      <c r="E217" s="34"/>
      <c r="O217" s="26"/>
    </row>
    <row r="218" spans="5:15" s="25" customFormat="1" x14ac:dyDescent="0.25">
      <c r="E218" s="34"/>
      <c r="O218" s="26"/>
    </row>
    <row r="219" spans="5:15" s="25" customFormat="1" x14ac:dyDescent="0.25">
      <c r="E219" s="34"/>
      <c r="O219" s="26"/>
    </row>
    <row r="220" spans="5:15" s="25" customFormat="1" x14ac:dyDescent="0.25">
      <c r="E220" s="34"/>
      <c r="O220" s="26"/>
    </row>
    <row r="221" spans="5:15" s="25" customFormat="1" x14ac:dyDescent="0.25">
      <c r="E221" s="34"/>
      <c r="O221" s="26"/>
    </row>
    <row r="222" spans="5:15" s="25" customFormat="1" x14ac:dyDescent="0.25">
      <c r="E222" s="34"/>
      <c r="O222" s="26"/>
    </row>
    <row r="223" spans="5:15" s="25" customFormat="1" x14ac:dyDescent="0.25">
      <c r="E223" s="34"/>
      <c r="O223" s="26"/>
    </row>
    <row r="224" spans="5:15" s="25" customFormat="1" x14ac:dyDescent="0.25">
      <c r="E224" s="34"/>
      <c r="O224" s="26"/>
    </row>
    <row r="225" spans="5:15" s="25" customFormat="1" x14ac:dyDescent="0.25">
      <c r="E225" s="34"/>
      <c r="O225" s="26"/>
    </row>
    <row r="226" spans="5:15" s="25" customFormat="1" x14ac:dyDescent="0.25">
      <c r="E226" s="34"/>
      <c r="O226" s="26"/>
    </row>
    <row r="227" spans="5:15" s="25" customFormat="1" x14ac:dyDescent="0.25">
      <c r="E227" s="34"/>
      <c r="O227" s="26"/>
    </row>
    <row r="228" spans="5:15" s="25" customFormat="1" x14ac:dyDescent="0.25">
      <c r="E228" s="34"/>
      <c r="O228" s="26"/>
    </row>
    <row r="229" spans="5:15" s="25" customFormat="1" x14ac:dyDescent="0.25">
      <c r="E229" s="34"/>
      <c r="O229" s="26"/>
    </row>
    <row r="230" spans="5:15" s="25" customFormat="1" x14ac:dyDescent="0.25">
      <c r="E230" s="34"/>
      <c r="O230" s="26"/>
    </row>
    <row r="231" spans="5:15" s="25" customFormat="1" x14ac:dyDescent="0.25">
      <c r="E231" s="34"/>
      <c r="O231" s="26"/>
    </row>
    <row r="232" spans="5:15" s="25" customFormat="1" x14ac:dyDescent="0.25">
      <c r="E232" s="34"/>
      <c r="O232" s="26"/>
    </row>
    <row r="233" spans="5:15" s="25" customFormat="1" x14ac:dyDescent="0.25">
      <c r="E233" s="34"/>
      <c r="O233" s="26"/>
    </row>
    <row r="234" spans="5:15" s="25" customFormat="1" x14ac:dyDescent="0.25">
      <c r="E234" s="34"/>
      <c r="O234" s="26"/>
    </row>
    <row r="235" spans="5:15" s="25" customFormat="1" x14ac:dyDescent="0.25">
      <c r="E235" s="34"/>
      <c r="O235" s="26"/>
    </row>
    <row r="236" spans="5:15" s="25" customFormat="1" x14ac:dyDescent="0.25">
      <c r="E236" s="34"/>
      <c r="O236" s="26"/>
    </row>
    <row r="237" spans="5:15" s="25" customFormat="1" x14ac:dyDescent="0.25">
      <c r="E237" s="34"/>
      <c r="O237" s="26"/>
    </row>
    <row r="238" spans="5:15" s="25" customFormat="1" x14ac:dyDescent="0.25">
      <c r="E238" s="34"/>
      <c r="O238" s="26"/>
    </row>
    <row r="239" spans="5:15" s="25" customFormat="1" x14ac:dyDescent="0.25">
      <c r="E239" s="34"/>
      <c r="O239" s="26"/>
    </row>
    <row r="240" spans="5:15" s="25" customFormat="1" x14ac:dyDescent="0.25">
      <c r="E240" s="34"/>
      <c r="O240" s="26"/>
    </row>
    <row r="241" spans="5:15" s="25" customFormat="1" x14ac:dyDescent="0.25">
      <c r="E241" s="34"/>
      <c r="O241" s="26"/>
    </row>
    <row r="242" spans="5:15" s="25" customFormat="1" x14ac:dyDescent="0.25">
      <c r="E242" s="34"/>
      <c r="O242" s="26"/>
    </row>
    <row r="243" spans="5:15" s="25" customFormat="1" x14ac:dyDescent="0.25">
      <c r="E243" s="34"/>
      <c r="O243" s="26"/>
    </row>
    <row r="244" spans="5:15" s="25" customFormat="1" x14ac:dyDescent="0.25">
      <c r="E244" s="34"/>
      <c r="O244" s="26"/>
    </row>
    <row r="245" spans="5:15" s="25" customFormat="1" x14ac:dyDescent="0.25">
      <c r="E245" s="34"/>
      <c r="O245" s="26"/>
    </row>
    <row r="246" spans="5:15" s="25" customFormat="1" x14ac:dyDescent="0.25">
      <c r="E246" s="34"/>
      <c r="O246" s="26"/>
    </row>
    <row r="247" spans="5:15" s="25" customFormat="1" x14ac:dyDescent="0.25">
      <c r="E247" s="34"/>
      <c r="O247" s="26"/>
    </row>
    <row r="248" spans="5:15" s="25" customFormat="1" x14ac:dyDescent="0.25">
      <c r="E248" s="34"/>
      <c r="O248" s="26"/>
    </row>
    <row r="249" spans="5:15" s="25" customFormat="1" x14ac:dyDescent="0.25">
      <c r="E249" s="34"/>
      <c r="O249" s="26"/>
    </row>
    <row r="250" spans="5:15" s="25" customFormat="1" x14ac:dyDescent="0.25">
      <c r="E250" s="34"/>
      <c r="O250" s="26"/>
    </row>
    <row r="251" spans="5:15" s="25" customFormat="1" x14ac:dyDescent="0.25">
      <c r="E251" s="34"/>
      <c r="O251" s="26"/>
    </row>
    <row r="252" spans="5:15" s="25" customFormat="1" x14ac:dyDescent="0.25">
      <c r="E252" s="34"/>
      <c r="O252" s="26"/>
    </row>
    <row r="253" spans="5:15" s="25" customFormat="1" x14ac:dyDescent="0.25">
      <c r="E253" s="34"/>
      <c r="O253" s="26"/>
    </row>
    <row r="254" spans="5:15" s="25" customFormat="1" x14ac:dyDescent="0.25">
      <c r="E254" s="34"/>
      <c r="O254" s="26"/>
    </row>
    <row r="255" spans="5:15" s="25" customFormat="1" x14ac:dyDescent="0.25">
      <c r="E255" s="34"/>
      <c r="O255" s="26"/>
    </row>
    <row r="256" spans="5:15" s="25" customFormat="1" x14ac:dyDescent="0.25">
      <c r="E256" s="34"/>
      <c r="O256" s="26"/>
    </row>
    <row r="257" spans="5:15" s="25" customFormat="1" x14ac:dyDescent="0.25">
      <c r="E257" s="34"/>
      <c r="O257" s="26"/>
    </row>
    <row r="258" spans="5:15" s="25" customFormat="1" x14ac:dyDescent="0.25">
      <c r="E258" s="34"/>
      <c r="O258" s="26"/>
    </row>
    <row r="259" spans="5:15" s="25" customFormat="1" x14ac:dyDescent="0.25">
      <c r="E259" s="34"/>
      <c r="O259" s="26"/>
    </row>
    <row r="260" spans="5:15" s="25" customFormat="1" x14ac:dyDescent="0.25">
      <c r="E260" s="34"/>
      <c r="O260" s="26"/>
    </row>
    <row r="261" spans="5:15" s="25" customFormat="1" x14ac:dyDescent="0.25">
      <c r="E261" s="34"/>
      <c r="O261" s="26"/>
    </row>
    <row r="262" spans="5:15" s="25" customFormat="1" x14ac:dyDescent="0.25">
      <c r="E262" s="34"/>
      <c r="O262" s="26"/>
    </row>
    <row r="263" spans="5:15" s="25" customFormat="1" x14ac:dyDescent="0.25">
      <c r="E263" s="34"/>
      <c r="O263" s="26"/>
    </row>
    <row r="264" spans="5:15" s="25" customFormat="1" x14ac:dyDescent="0.25">
      <c r="E264" s="34"/>
      <c r="O264" s="26"/>
    </row>
    <row r="265" spans="5:15" s="25" customFormat="1" x14ac:dyDescent="0.25">
      <c r="E265" s="34"/>
      <c r="O265" s="26"/>
    </row>
    <row r="266" spans="5:15" s="25" customFormat="1" x14ac:dyDescent="0.25">
      <c r="E266" s="34"/>
      <c r="O266" s="26"/>
    </row>
    <row r="267" spans="5:15" s="25" customFormat="1" x14ac:dyDescent="0.25">
      <c r="E267" s="34"/>
      <c r="O267" s="26"/>
    </row>
    <row r="268" spans="5:15" s="25" customFormat="1" x14ac:dyDescent="0.25">
      <c r="E268" s="34"/>
      <c r="O268" s="26"/>
    </row>
    <row r="269" spans="5:15" s="25" customFormat="1" x14ac:dyDescent="0.25">
      <c r="E269" s="34"/>
      <c r="O269" s="26"/>
    </row>
    <row r="270" spans="5:15" s="25" customFormat="1" x14ac:dyDescent="0.25">
      <c r="E270" s="34"/>
      <c r="O270" s="26"/>
    </row>
    <row r="271" spans="5:15" s="25" customFormat="1" x14ac:dyDescent="0.25">
      <c r="E271" s="34"/>
      <c r="O271" s="26"/>
    </row>
    <row r="272" spans="5:15" s="25" customFormat="1" x14ac:dyDescent="0.25">
      <c r="E272" s="34"/>
      <c r="O272" s="26"/>
    </row>
    <row r="273" spans="5:15" s="25" customFormat="1" x14ac:dyDescent="0.25">
      <c r="E273" s="34"/>
      <c r="O273" s="26"/>
    </row>
    <row r="274" spans="5:15" s="25" customFormat="1" x14ac:dyDescent="0.25">
      <c r="E274" s="34"/>
      <c r="O274" s="26"/>
    </row>
    <row r="275" spans="5:15" s="25" customFormat="1" x14ac:dyDescent="0.25">
      <c r="E275" s="34"/>
      <c r="O275" s="26"/>
    </row>
    <row r="276" spans="5:15" s="25" customFormat="1" x14ac:dyDescent="0.25">
      <c r="E276" s="34"/>
      <c r="O276" s="26"/>
    </row>
    <row r="277" spans="5:15" s="25" customFormat="1" x14ac:dyDescent="0.25">
      <c r="E277" s="34"/>
      <c r="O277" s="26"/>
    </row>
    <row r="278" spans="5:15" s="25" customFormat="1" x14ac:dyDescent="0.25">
      <c r="E278" s="34"/>
      <c r="O278" s="26"/>
    </row>
    <row r="279" spans="5:15" s="25" customFormat="1" x14ac:dyDescent="0.25">
      <c r="E279" s="34"/>
      <c r="O279" s="26"/>
    </row>
    <row r="280" spans="5:15" s="25" customFormat="1" x14ac:dyDescent="0.25">
      <c r="E280" s="34"/>
      <c r="O280" s="26"/>
    </row>
    <row r="281" spans="5:15" s="25" customFormat="1" x14ac:dyDescent="0.25">
      <c r="E281" s="34"/>
      <c r="O281" s="26"/>
    </row>
    <row r="282" spans="5:15" s="25" customFormat="1" x14ac:dyDescent="0.25">
      <c r="E282" s="34"/>
      <c r="O282" s="26"/>
    </row>
    <row r="283" spans="5:15" s="25" customFormat="1" x14ac:dyDescent="0.25">
      <c r="E283" s="34"/>
      <c r="O283" s="26"/>
    </row>
    <row r="284" spans="5:15" s="25" customFormat="1" x14ac:dyDescent="0.25">
      <c r="E284" s="34"/>
      <c r="O284" s="26"/>
    </row>
    <row r="285" spans="5:15" s="25" customFormat="1" x14ac:dyDescent="0.25">
      <c r="E285" s="34"/>
      <c r="O285" s="26"/>
    </row>
    <row r="286" spans="5:15" s="25" customFormat="1" x14ac:dyDescent="0.25">
      <c r="E286" s="34"/>
      <c r="O286" s="26"/>
    </row>
    <row r="287" spans="5:15" s="25" customFormat="1" x14ac:dyDescent="0.25">
      <c r="E287" s="34"/>
      <c r="O287" s="26"/>
    </row>
    <row r="288" spans="5:15" s="25" customFormat="1" x14ac:dyDescent="0.25">
      <c r="E288" s="34"/>
      <c r="O288" s="26"/>
    </row>
    <row r="289" spans="5:15" s="25" customFormat="1" x14ac:dyDescent="0.25">
      <c r="E289" s="34"/>
      <c r="O289" s="26"/>
    </row>
    <row r="290" spans="5:15" s="25" customFormat="1" x14ac:dyDescent="0.25">
      <c r="E290" s="34"/>
      <c r="O290" s="26"/>
    </row>
    <row r="291" spans="5:15" s="25" customFormat="1" x14ac:dyDescent="0.25">
      <c r="E291" s="34"/>
      <c r="O291" s="26"/>
    </row>
    <row r="292" spans="5:15" s="25" customFormat="1" x14ac:dyDescent="0.25">
      <c r="E292" s="34"/>
      <c r="O292" s="26"/>
    </row>
    <row r="293" spans="5:15" s="25" customFormat="1" x14ac:dyDescent="0.25">
      <c r="E293" s="34"/>
      <c r="O293" s="26"/>
    </row>
    <row r="294" spans="5:15" s="25" customFormat="1" x14ac:dyDescent="0.25">
      <c r="E294" s="34"/>
      <c r="O294" s="26"/>
    </row>
    <row r="295" spans="5:15" s="25" customFormat="1" x14ac:dyDescent="0.25">
      <c r="E295" s="34"/>
      <c r="O295" s="26"/>
    </row>
    <row r="296" spans="5:15" s="25" customFormat="1" x14ac:dyDescent="0.25">
      <c r="E296" s="34"/>
      <c r="O296" s="26"/>
    </row>
    <row r="297" spans="5:15" s="25" customFormat="1" x14ac:dyDescent="0.25">
      <c r="E297" s="34"/>
      <c r="O297" s="26"/>
    </row>
    <row r="298" spans="5:15" s="25" customFormat="1" x14ac:dyDescent="0.25">
      <c r="E298" s="34"/>
      <c r="O298" s="26"/>
    </row>
    <row r="299" spans="5:15" s="25" customFormat="1" x14ac:dyDescent="0.25">
      <c r="E299" s="34"/>
      <c r="O299" s="26"/>
    </row>
    <row r="300" spans="5:15" s="25" customFormat="1" x14ac:dyDescent="0.25">
      <c r="E300" s="34"/>
      <c r="O300" s="26"/>
    </row>
    <row r="301" spans="5:15" s="25" customFormat="1" x14ac:dyDescent="0.25">
      <c r="E301" s="34"/>
      <c r="O301" s="26"/>
    </row>
    <row r="302" spans="5:15" s="25" customFormat="1" x14ac:dyDescent="0.25">
      <c r="E302" s="34"/>
      <c r="O302" s="26"/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4"/>
  <sheetViews>
    <sheetView topLeftCell="H1" workbookViewId="0">
      <selection activeCell="AX13" sqref="AX13"/>
    </sheetView>
  </sheetViews>
  <sheetFormatPr defaultRowHeight="15" x14ac:dyDescent="0.25"/>
  <cols>
    <col min="1" max="1" width="11.7109375" customWidth="1"/>
    <col min="2" max="2" width="8.7109375" customWidth="1"/>
    <col min="3" max="3" width="8" customWidth="1"/>
    <col min="5" max="5" width="14.140625" style="6" customWidth="1"/>
    <col min="6" max="6" width="10.85546875" customWidth="1"/>
    <col min="7" max="7" width="9" customWidth="1"/>
    <col min="8" max="8" width="9.5703125" customWidth="1"/>
    <col min="10" max="10" width="9.28515625" customWidth="1"/>
    <col min="11" max="11" width="1.42578125" style="11" customWidth="1"/>
    <col min="12" max="12" width="6.85546875" hidden="1" customWidth="1"/>
    <col min="13" max="13" width="9.28515625" hidden="1" customWidth="1"/>
    <col min="14" max="14" width="9" customWidth="1"/>
    <col min="15" max="15" width="8.7109375" style="17" customWidth="1"/>
    <col min="16" max="16" width="1.28515625" customWidth="1"/>
    <col min="17" max="17" width="6.7109375" style="25" hidden="1" customWidth="1"/>
    <col min="18" max="18" width="7.28515625" style="25" hidden="1" customWidth="1"/>
    <col min="19" max="19" width="9.28515625" style="25" customWidth="1"/>
    <col min="20" max="20" width="7.7109375" style="25" customWidth="1"/>
    <col min="21" max="21" width="1.28515625" customWidth="1"/>
    <col min="22" max="22" width="7.7109375" hidden="1" customWidth="1"/>
    <col min="23" max="23" width="5.85546875" hidden="1" customWidth="1"/>
    <col min="24" max="24" width="7.7109375" customWidth="1"/>
    <col min="25" max="25" width="8.42578125" style="11" customWidth="1"/>
    <col min="26" max="26" width="1.28515625" customWidth="1"/>
    <col min="27" max="27" width="7.28515625" hidden="1" customWidth="1"/>
    <col min="28" max="28" width="8.42578125" hidden="1" customWidth="1"/>
    <col min="29" max="29" width="8.85546875" customWidth="1"/>
    <col min="30" max="30" width="7.5703125" style="11" customWidth="1"/>
    <col min="31" max="31" width="1.28515625" customWidth="1"/>
    <col min="32" max="32" width="0" hidden="1" customWidth="1"/>
    <col min="33" max="33" width="6.5703125" hidden="1" customWidth="1"/>
    <col min="34" max="34" width="8.5703125" customWidth="1"/>
    <col min="35" max="35" width="7.7109375" style="11" customWidth="1"/>
    <col min="36" max="36" width="1.28515625" customWidth="1"/>
    <col min="37" max="37" width="6.42578125" hidden="1" customWidth="1"/>
    <col min="38" max="38" width="5.85546875" hidden="1" customWidth="1"/>
    <col min="39" max="39" width="6.7109375" customWidth="1"/>
    <col min="40" max="40" width="5.85546875" style="11" customWidth="1"/>
    <col min="41" max="41" width="1.28515625" customWidth="1"/>
    <col min="42" max="42" width="7.28515625" hidden="1" customWidth="1"/>
    <col min="43" max="43" width="6" hidden="1" customWidth="1"/>
    <col min="44" max="44" width="7.85546875" customWidth="1"/>
    <col min="45" max="45" width="7" style="11" customWidth="1"/>
    <col min="46" max="46" width="1.28515625" customWidth="1"/>
    <col min="47" max="47" width="6.7109375" hidden="1" customWidth="1"/>
    <col min="48" max="48" width="6" hidden="1" customWidth="1"/>
    <col min="49" max="49" width="7.28515625" customWidth="1"/>
    <col min="50" max="50" width="10" bestFit="1" customWidth="1"/>
    <col min="51" max="51" width="1.5703125" style="11" customWidth="1"/>
    <col min="52" max="53" width="7" hidden="1" customWidth="1"/>
    <col min="54" max="54" width="12" bestFit="1" customWidth="1"/>
    <col min="56" max="56" width="9.85546875" style="11" customWidth="1"/>
    <col min="57" max="57" width="12" bestFit="1" customWidth="1"/>
  </cols>
  <sheetData>
    <row r="1" spans="1:59" s="25" customFormat="1" ht="21" x14ac:dyDescent="0.35">
      <c r="A1" s="38" t="s">
        <v>0</v>
      </c>
      <c r="E1" s="34"/>
      <c r="K1" s="11"/>
      <c r="O1" s="26"/>
      <c r="AY1" s="11"/>
      <c r="BD1" s="11"/>
    </row>
    <row r="2" spans="1:59" s="25" customFormat="1" x14ac:dyDescent="0.25">
      <c r="A2" s="108" t="s">
        <v>1</v>
      </c>
      <c r="B2" s="108"/>
      <c r="C2" s="108"/>
      <c r="D2" s="24"/>
      <c r="E2" s="34"/>
      <c r="K2" s="11"/>
      <c r="O2" s="26">
        <v>0.10100000000000001</v>
      </c>
      <c r="T2" s="25">
        <v>0.13600000000000001</v>
      </c>
      <c r="Y2" s="25">
        <v>0.186</v>
      </c>
      <c r="AD2" s="25">
        <v>0.24</v>
      </c>
      <c r="AI2" s="25">
        <v>0.23100000000000001</v>
      </c>
      <c r="AN2" s="25">
        <v>7.0999999999999994E-2</v>
      </c>
      <c r="AS2" s="25">
        <v>3.1E-2</v>
      </c>
      <c r="AX2" s="25">
        <v>4.0000000000000001E-3</v>
      </c>
      <c r="AY2" s="11"/>
      <c r="BC2" s="25">
        <v>0</v>
      </c>
      <c r="BD2" s="11"/>
    </row>
    <row r="3" spans="1:59" ht="45.75" customHeight="1" x14ac:dyDescent="0.4">
      <c r="A3" s="24" t="s">
        <v>2</v>
      </c>
      <c r="B3" s="3" t="s">
        <v>3</v>
      </c>
      <c r="C3" s="24" t="s">
        <v>4</v>
      </c>
      <c r="D3" s="9" t="s">
        <v>14</v>
      </c>
      <c r="E3" s="6" t="s">
        <v>9</v>
      </c>
      <c r="F3" s="36" t="s">
        <v>24</v>
      </c>
      <c r="G3" s="49" t="s">
        <v>49</v>
      </c>
      <c r="H3" s="6" t="s">
        <v>16</v>
      </c>
      <c r="I3" s="6" t="s">
        <v>15</v>
      </c>
      <c r="J3" s="6" t="s">
        <v>17</v>
      </c>
      <c r="L3" s="6" t="s">
        <v>22</v>
      </c>
      <c r="M3" s="14" t="s">
        <v>23</v>
      </c>
      <c r="N3" s="8" t="s">
        <v>25</v>
      </c>
      <c r="O3" s="36" t="s">
        <v>86</v>
      </c>
      <c r="P3" s="17"/>
      <c r="Q3" s="34" t="s">
        <v>22</v>
      </c>
      <c r="R3" s="35" t="s">
        <v>23</v>
      </c>
      <c r="S3" s="36" t="s">
        <v>25</v>
      </c>
      <c r="T3" s="36" t="s">
        <v>86</v>
      </c>
      <c r="U3" s="17"/>
      <c r="V3" s="6" t="s">
        <v>22</v>
      </c>
      <c r="W3" s="14" t="s">
        <v>23</v>
      </c>
      <c r="X3" s="8" t="s">
        <v>25</v>
      </c>
      <c r="Y3" s="36" t="s">
        <v>86</v>
      </c>
      <c r="Z3" s="11"/>
      <c r="AA3" t="s">
        <v>28</v>
      </c>
      <c r="AB3" s="14" t="s">
        <v>23</v>
      </c>
      <c r="AC3" s="8" t="s">
        <v>25</v>
      </c>
      <c r="AD3" s="36" t="s">
        <v>86</v>
      </c>
      <c r="AE3" s="11"/>
      <c r="AF3" t="s">
        <v>28</v>
      </c>
      <c r="AG3" s="14" t="s">
        <v>23</v>
      </c>
      <c r="AH3" s="8" t="s">
        <v>25</v>
      </c>
      <c r="AI3" s="36" t="s">
        <v>86</v>
      </c>
      <c r="AJ3" s="11"/>
      <c r="AK3" s="1" t="s">
        <v>28</v>
      </c>
      <c r="AL3" s="15" t="s">
        <v>29</v>
      </c>
      <c r="AM3" s="16" t="s">
        <v>25</v>
      </c>
      <c r="AN3" s="36" t="s">
        <v>86</v>
      </c>
      <c r="AO3" s="11"/>
      <c r="AP3" s="1" t="s">
        <v>28</v>
      </c>
      <c r="AQ3" s="15" t="s">
        <v>29</v>
      </c>
      <c r="AR3" s="16" t="s">
        <v>25</v>
      </c>
      <c r="AS3" s="36" t="s">
        <v>86</v>
      </c>
      <c r="AT3" s="11"/>
      <c r="AU3" s="1" t="s">
        <v>28</v>
      </c>
      <c r="AV3" s="15" t="s">
        <v>29</v>
      </c>
      <c r="AW3" s="16" t="s">
        <v>25</v>
      </c>
      <c r="AX3" s="36" t="s">
        <v>86</v>
      </c>
      <c r="AZ3" s="1" t="s">
        <v>28</v>
      </c>
      <c r="BA3" s="15" t="s">
        <v>29</v>
      </c>
      <c r="BB3" s="16" t="s">
        <v>25</v>
      </c>
      <c r="BC3" s="36" t="s">
        <v>86</v>
      </c>
      <c r="BE3" t="s">
        <v>88</v>
      </c>
      <c r="BG3" t="s">
        <v>87</v>
      </c>
    </row>
    <row r="4" spans="1:59" x14ac:dyDescent="0.25">
      <c r="A4" s="4">
        <v>1</v>
      </c>
      <c r="B4" s="5">
        <v>10</v>
      </c>
      <c r="C4" s="4"/>
      <c r="D4" s="27">
        <f>(B4*B5)^0.5</f>
        <v>11.220071301021219</v>
      </c>
      <c r="E4" s="6" t="s">
        <v>8</v>
      </c>
      <c r="F4" s="51">
        <f>0.065*1600*9.8*B4/1000000</f>
        <v>1.0192E-2</v>
      </c>
      <c r="G4" s="50">
        <v>4.5999999999999999E-2</v>
      </c>
      <c r="H4" s="10">
        <f t="shared" ref="H4:H11" si="0">1600*9.8*(D4/1000000)^2/(18*0.0014)</f>
        <v>7.8331555555555585E-5</v>
      </c>
      <c r="I4" s="7">
        <f>100*H4</f>
        <v>7.8331555555555578E-3</v>
      </c>
      <c r="J4">
        <v>0.1</v>
      </c>
      <c r="L4">
        <v>0.3</v>
      </c>
      <c r="M4" s="7">
        <f>1050*(0.4*L4/10.3)^2</f>
        <v>0.14252050146102363</v>
      </c>
      <c r="N4">
        <f>0.1*H4*(1-M4/G4)</f>
        <v>-1.6436089179226646E-5</v>
      </c>
      <c r="O4">
        <v>0</v>
      </c>
      <c r="P4" s="17"/>
      <c r="Q4" s="26">
        <v>0.25</v>
      </c>
      <c r="R4" s="7">
        <f>1050*(0.4*Q4/10.3)^2</f>
        <v>9.8972570459044187E-2</v>
      </c>
      <c r="S4">
        <f>0.1*H4*(1-R4/G4)</f>
        <v>-9.0204866213765272E-6</v>
      </c>
      <c r="T4" s="26">
        <v>0</v>
      </c>
      <c r="U4" s="17"/>
      <c r="V4">
        <v>0.2</v>
      </c>
      <c r="W4" s="7">
        <f>1050*(0.4*V4/10.3)^2</f>
        <v>6.3342445093788308E-2</v>
      </c>
      <c r="X4">
        <f>0.1*H4*(1-W4/G4)</f>
        <v>-2.9531754376809807E-6</v>
      </c>
      <c r="Y4">
        <v>0</v>
      </c>
      <c r="Z4" s="11"/>
      <c r="AA4">
        <v>0.15</v>
      </c>
      <c r="AB4" s="7">
        <f>1050*(0.4*AA4/10.3)^2</f>
        <v>3.5630125365255907E-2</v>
      </c>
      <c r="AC4">
        <f>0.1*H4*(1-AB4/G4)</f>
        <v>1.765844371860008E-6</v>
      </c>
      <c r="AD4">
        <f>AC4*0.24</f>
        <v>4.2380264924640193E-7</v>
      </c>
      <c r="AE4" s="11"/>
      <c r="AF4">
        <v>0.1</v>
      </c>
      <c r="AG4" s="7">
        <f>1050*(0.4*AF4/10.3)^2</f>
        <v>1.5835611273447077E-2</v>
      </c>
      <c r="AH4">
        <f>0.1*H4*(1-AG4/G4)</f>
        <v>5.136572807246425E-6</v>
      </c>
      <c r="AI4">
        <f t="shared" ref="AI4:AI11" si="1">AH4*0.231</f>
        <v>1.1865483184739242E-6</v>
      </c>
      <c r="AJ4" s="11"/>
      <c r="AK4">
        <v>7.4999999999999997E-2</v>
      </c>
      <c r="AL4" s="7">
        <f>1050*(0.4*AK4/10.3)^2</f>
        <v>8.9075313413139769E-3</v>
      </c>
      <c r="AM4">
        <f>0.1*H4*(1-AL4/G4)</f>
        <v>6.316327759631671E-6</v>
      </c>
      <c r="AN4">
        <f>AM4*0.071</f>
        <v>4.4845927093384862E-7</v>
      </c>
      <c r="AO4" s="11"/>
      <c r="AP4">
        <v>0.05</v>
      </c>
      <c r="AQ4" s="7">
        <f>1050*(0.4*AP4/10.3)^2</f>
        <v>3.9589028183617692E-3</v>
      </c>
      <c r="AR4">
        <f>0.1*H4*(1-AQ4/G4)</f>
        <v>7.1590098684782757E-6</v>
      </c>
      <c r="AS4">
        <f>AR4*0.031</f>
        <v>2.2192930592282654E-7</v>
      </c>
      <c r="AT4" s="11"/>
      <c r="AU4">
        <v>2.5000000000000001E-2</v>
      </c>
      <c r="AV4" s="7">
        <f>1050*(0.4*AU4/10.3)^2</f>
        <v>9.8972570459044231E-4</v>
      </c>
      <c r="AW4">
        <f>0.1*H4*(1-AV4/G4)</f>
        <v>7.6646191337862381E-6</v>
      </c>
      <c r="AX4">
        <f>AW4*0.004</f>
        <v>3.0658476535144956E-8</v>
      </c>
      <c r="AZ4">
        <v>1E-3</v>
      </c>
      <c r="BA4" s="7">
        <f>1050*(0.4*AZ4/10.3)^2</f>
        <v>1.5835611273447073E-6</v>
      </c>
      <c r="BB4" s="10">
        <f>0.1*H4*(1-BA4/G4)</f>
        <v>7.8328858972807287E-6</v>
      </c>
      <c r="BC4" s="10">
        <f>BB4*0</f>
        <v>0</v>
      </c>
      <c r="BE4">
        <f>(T4+Y4+AD4+AI4+AN4+AS4+AX4+BC4)*BG4</f>
        <v>2.5933885796878281E-5</v>
      </c>
      <c r="BG4" s="47">
        <v>11.22</v>
      </c>
    </row>
    <row r="5" spans="1:59" x14ac:dyDescent="0.25">
      <c r="A5" s="4">
        <v>1.1000000000000001</v>
      </c>
      <c r="B5" s="5">
        <v>12.589</v>
      </c>
      <c r="C5" s="5">
        <v>2.589</v>
      </c>
      <c r="D5" s="27">
        <f t="shared" ref="D5:D11" si="2">(B5*B6)^0.5</f>
        <v>14.125263218786403</v>
      </c>
      <c r="E5" s="6" t="s">
        <v>5</v>
      </c>
      <c r="F5" s="51">
        <f t="shared" ref="F5:F11" si="3">0.065*1600*9.8*B5/1000000</f>
        <v>1.28307088E-2</v>
      </c>
      <c r="G5" s="50">
        <v>5.1999999999999998E-2</v>
      </c>
      <c r="H5" s="10">
        <f t="shared" si="0"/>
        <v>1.2414768240000002E-4</v>
      </c>
      <c r="I5" s="7">
        <f t="shared" ref="I5:I11" si="4">100*H5</f>
        <v>1.2414768240000002E-2</v>
      </c>
      <c r="J5">
        <v>0.1</v>
      </c>
      <c r="L5">
        <v>0.3</v>
      </c>
      <c r="M5" s="7">
        <f t="shared" ref="M5:M11" si="5">1050*(0.4*L5/10.3)^2</f>
        <v>0.14252050146102363</v>
      </c>
      <c r="N5">
        <f t="shared" ref="N5:N11" si="6">0.1*H5*(1-M5/G5)</f>
        <v>-2.1611366280907501E-5</v>
      </c>
      <c r="O5">
        <v>0</v>
      </c>
      <c r="P5" s="17"/>
      <c r="Q5" s="26">
        <v>0.25</v>
      </c>
      <c r="R5" s="7">
        <f t="shared" ref="R5:R11" si="7">1050*(0.4*Q5/10.3)^2</f>
        <v>9.8972570459044187E-2</v>
      </c>
      <c r="S5">
        <f t="shared" ref="S5:S11" si="8">0.1*H5*(1-R5/G5)</f>
        <v>-1.1214491843963542E-5</v>
      </c>
      <c r="T5" s="26">
        <v>0</v>
      </c>
      <c r="U5" s="17"/>
      <c r="V5">
        <v>0.2</v>
      </c>
      <c r="W5" s="7">
        <f t="shared" ref="W5:W11" si="9">1050*(0.4*V5/10.3)^2</f>
        <v>6.3342445093788308E-2</v>
      </c>
      <c r="X5">
        <f t="shared" ref="X5:X11" si="10">0.1*H5*(1-W5/G5)</f>
        <v>-2.7079582137366723E-6</v>
      </c>
      <c r="Y5">
        <v>0</v>
      </c>
      <c r="Z5" s="11"/>
      <c r="AA5">
        <v>0.15</v>
      </c>
      <c r="AB5" s="7">
        <f t="shared" ref="AB5:AB11" si="11">1050*(0.4*AA5/10.3)^2</f>
        <v>3.5630125365255907E-2</v>
      </c>
      <c r="AC5">
        <f t="shared" ref="AC5:AC11" si="12">0.1*H5*(1-AB5/G5)</f>
        <v>3.9082346097731274E-6</v>
      </c>
      <c r="AD5">
        <f t="shared" ref="AD5:AD11" si="13">AC5*0.24</f>
        <v>9.3797630634555056E-7</v>
      </c>
      <c r="AE5" s="11"/>
      <c r="AF5">
        <v>0.1</v>
      </c>
      <c r="AG5" s="7">
        <f t="shared" ref="AG5:AG11" si="14">1050*(0.4*AF5/10.3)^2</f>
        <v>1.5835611273447077E-2</v>
      </c>
      <c r="AH5">
        <f t="shared" ref="AH5:AH11" si="15">0.1*H5*(1-AG5/G5)</f>
        <v>8.6340866265658337E-6</v>
      </c>
      <c r="AI5">
        <f t="shared" si="1"/>
        <v>1.9944740107367078E-6</v>
      </c>
      <c r="AJ5" s="11"/>
      <c r="AK5">
        <v>7.4999999999999997E-2</v>
      </c>
      <c r="AL5" s="7">
        <f t="shared" ref="AL5:AL11" si="16">1050*(0.4*AK5/10.3)^2</f>
        <v>8.9075313413139769E-3</v>
      </c>
      <c r="AM5">
        <f t="shared" ref="AM5:AM11" si="17">0.1*H5*(1-AL5/G5)</f>
        <v>1.0288134832443284E-5</v>
      </c>
      <c r="AN5">
        <f t="shared" ref="AN5:AN11" si="18">AM5*0.071</f>
        <v>7.304575731034731E-7</v>
      </c>
      <c r="AO5" s="11"/>
      <c r="AP5">
        <v>0.05</v>
      </c>
      <c r="AQ5" s="7">
        <f t="shared" ref="AQ5:AQ11" si="19">1050*(0.4*AP5/10.3)^2</f>
        <v>3.9589028183617692E-3</v>
      </c>
      <c r="AR5">
        <f t="shared" ref="AR5:AR11" si="20">0.1*H5*(1-AQ5/G5)</f>
        <v>1.1469597836641462E-5</v>
      </c>
      <c r="AS5">
        <f t="shared" ref="AS5:AS11" si="21">AR5*0.031</f>
        <v>3.5555753293588531E-7</v>
      </c>
      <c r="AT5" s="11"/>
      <c r="AU5">
        <v>2.5000000000000001E-2</v>
      </c>
      <c r="AV5" s="7">
        <f t="shared" ref="AV5:AV11" si="22">1050*(0.4*AU5/10.3)^2</f>
        <v>9.8972570459044231E-4</v>
      </c>
      <c r="AW5">
        <f t="shared" ref="AW5:AW11" si="23">0.1*H5*(1-AV5/G5)</f>
        <v>1.2178475639160368E-5</v>
      </c>
      <c r="AX5">
        <f t="shared" ref="AX5:AX11" si="24">AW5*0.004</f>
        <v>4.8713902556641469E-8</v>
      </c>
      <c r="AZ5">
        <v>1E-3</v>
      </c>
      <c r="BA5" s="7">
        <f t="shared" ref="BA5:BA11" si="25">1050*(0.4*AZ5/10.3)^2</f>
        <v>1.5835611273447073E-6</v>
      </c>
      <c r="BB5" s="10">
        <f t="shared" ref="BB5:BB11" si="26">0.1*H5*(1-BA5/G5)</f>
        <v>1.241439017183866E-5</v>
      </c>
      <c r="BC5" s="10">
        <f t="shared" ref="BC5:BC11" si="27">BB5*0</f>
        <v>0</v>
      </c>
      <c r="BE5">
        <f t="shared" ref="BE5:BE11" si="28">(T5+Y5+AD5+AI5+AN5+AS5+AX5+BC5)*BG5</f>
        <v>5.746924387183378E-5</v>
      </c>
      <c r="BG5" s="47">
        <v>14.13</v>
      </c>
    </row>
    <row r="6" spans="1:59" x14ac:dyDescent="0.25">
      <c r="A6" s="4">
        <v>1.2</v>
      </c>
      <c r="B6" s="5">
        <v>15.849</v>
      </c>
      <c r="C6" s="5">
        <v>3.26</v>
      </c>
      <c r="D6" s="27">
        <f t="shared" si="2"/>
        <v>17.783000224933925</v>
      </c>
      <c r="E6" s="6" t="s">
        <v>6</v>
      </c>
      <c r="F6" s="51">
        <f t="shared" si="3"/>
        <v>1.6153300799999999E-2</v>
      </c>
      <c r="G6" s="50">
        <v>5.8999999999999997E-2</v>
      </c>
      <c r="H6" s="10">
        <f t="shared" si="0"/>
        <v>1.9676850480000003E-4</v>
      </c>
      <c r="I6" s="7">
        <f t="shared" si="4"/>
        <v>1.9676850480000004E-2</v>
      </c>
      <c r="J6">
        <v>0.1</v>
      </c>
      <c r="L6">
        <v>0.3</v>
      </c>
      <c r="M6" s="7">
        <f t="shared" si="5"/>
        <v>0.14252050146102363</v>
      </c>
      <c r="N6">
        <f t="shared" si="6"/>
        <v>-2.7854583377342102E-5</v>
      </c>
      <c r="O6">
        <v>0</v>
      </c>
      <c r="P6" s="17"/>
      <c r="Q6" s="26">
        <v>0.25</v>
      </c>
      <c r="R6" s="7">
        <f t="shared" si="7"/>
        <v>9.8972570459044187E-2</v>
      </c>
      <c r="S6">
        <f t="shared" si="8"/>
        <v>-1.3331089698709791E-5</v>
      </c>
      <c r="T6" s="26">
        <v>0</v>
      </c>
      <c r="U6" s="17"/>
      <c r="V6">
        <v>0.2</v>
      </c>
      <c r="W6" s="7">
        <f t="shared" si="9"/>
        <v>6.3342445093788308E-2</v>
      </c>
      <c r="X6">
        <f t="shared" si="10"/>
        <v>-1.4482312343742757E-6</v>
      </c>
      <c r="Y6">
        <v>0</v>
      </c>
      <c r="Z6" s="11"/>
      <c r="AA6">
        <v>0.15</v>
      </c>
      <c r="AB6" s="7">
        <f t="shared" si="11"/>
        <v>3.5630125365255907E-2</v>
      </c>
      <c r="AC6">
        <f t="shared" si="12"/>
        <v>7.7939920156644768E-6</v>
      </c>
      <c r="AD6">
        <f t="shared" si="13"/>
        <v>1.8705580837594743E-6</v>
      </c>
      <c r="AE6" s="11"/>
      <c r="AF6">
        <v>0.1</v>
      </c>
      <c r="AG6" s="7">
        <f t="shared" si="14"/>
        <v>1.5835611273447077E-2</v>
      </c>
      <c r="AH6">
        <f t="shared" si="15"/>
        <v>1.4395580051406435E-5</v>
      </c>
      <c r="AI6">
        <f t="shared" si="1"/>
        <v>3.3253789918748864E-6</v>
      </c>
      <c r="AJ6" s="11"/>
      <c r="AK6">
        <v>7.4999999999999997E-2</v>
      </c>
      <c r="AL6" s="7">
        <f t="shared" si="16"/>
        <v>8.9075313413139769E-3</v>
      </c>
      <c r="AM6">
        <f t="shared" si="17"/>
        <v>1.6706135863916121E-5</v>
      </c>
      <c r="AN6">
        <f t="shared" si="18"/>
        <v>1.1861356463380446E-6</v>
      </c>
      <c r="AO6" s="11"/>
      <c r="AP6">
        <v>0.05</v>
      </c>
      <c r="AQ6" s="7">
        <f t="shared" si="19"/>
        <v>3.9589028183617692E-3</v>
      </c>
      <c r="AR6">
        <f t="shared" si="20"/>
        <v>1.835653287285161E-5</v>
      </c>
      <c r="AS6">
        <f t="shared" si="21"/>
        <v>5.6905251905839986E-7</v>
      </c>
      <c r="AT6" s="11"/>
      <c r="AU6">
        <v>2.5000000000000001E-2</v>
      </c>
      <c r="AV6" s="7">
        <f t="shared" si="22"/>
        <v>9.8972570459044231E-4</v>
      </c>
      <c r="AW6">
        <f t="shared" si="23"/>
        <v>1.9346771078212905E-5</v>
      </c>
      <c r="AX6">
        <f t="shared" si="24"/>
        <v>7.7387084312851623E-8</v>
      </c>
      <c r="AZ6">
        <v>1E-3</v>
      </c>
      <c r="BA6" s="7">
        <f t="shared" si="25"/>
        <v>1.5835611273447073E-6</v>
      </c>
      <c r="BB6" s="10">
        <f t="shared" si="26"/>
        <v>1.9676322352957142E-5</v>
      </c>
      <c r="BC6" s="10">
        <f t="shared" si="27"/>
        <v>0</v>
      </c>
      <c r="BE6">
        <f t="shared" si="28"/>
        <v>1.2496694914461022E-4</v>
      </c>
      <c r="BG6" s="47">
        <v>17.78</v>
      </c>
    </row>
    <row r="7" spans="1:59" x14ac:dyDescent="0.25">
      <c r="A7" s="4">
        <v>1.3</v>
      </c>
      <c r="B7" s="5">
        <v>19.952999999999999</v>
      </c>
      <c r="C7" s="5">
        <v>4.1040000000000001</v>
      </c>
      <c r="D7" s="27">
        <f t="shared" si="2"/>
        <v>22.387483266325404</v>
      </c>
      <c r="E7" s="6" t="s">
        <v>7</v>
      </c>
      <c r="F7" s="51">
        <f t="shared" si="3"/>
        <v>2.0336097600000002E-2</v>
      </c>
      <c r="G7" s="50">
        <v>6.6000000000000003E-2</v>
      </c>
      <c r="H7" s="10">
        <f t="shared" si="0"/>
        <v>3.118574088E-4</v>
      </c>
      <c r="I7" s="7">
        <f t="shared" si="4"/>
        <v>3.118574088E-2</v>
      </c>
      <c r="J7">
        <v>0.1</v>
      </c>
      <c r="L7">
        <v>0.3</v>
      </c>
      <c r="M7" s="7">
        <f t="shared" si="5"/>
        <v>0.14252050146102363</v>
      </c>
      <c r="N7">
        <f t="shared" si="6"/>
        <v>-3.6156795917744619E-5</v>
      </c>
      <c r="O7">
        <v>0</v>
      </c>
      <c r="P7" s="17"/>
      <c r="Q7" s="26">
        <v>0.25</v>
      </c>
      <c r="R7" s="7">
        <f t="shared" si="7"/>
        <v>9.8972570459044187E-2</v>
      </c>
      <c r="S7">
        <f t="shared" si="8"/>
        <v>-1.5579909673989315E-5</v>
      </c>
      <c r="T7" s="26">
        <v>0</v>
      </c>
      <c r="U7" s="17"/>
      <c r="V7">
        <v>0.2</v>
      </c>
      <c r="W7" s="7">
        <f t="shared" si="9"/>
        <v>6.3342445093788308E-2</v>
      </c>
      <c r="X7">
        <f t="shared" si="10"/>
        <v>1.2557245254468275E-6</v>
      </c>
      <c r="Y7">
        <f>X7*0.186</f>
        <v>2.3356476173310992E-7</v>
      </c>
      <c r="Z7" s="11"/>
      <c r="AA7">
        <v>0.15</v>
      </c>
      <c r="AB7" s="7">
        <f t="shared" si="11"/>
        <v>3.5630125365255907E-2</v>
      </c>
      <c r="AC7">
        <f t="shared" si="12"/>
        <v>1.4350106680563848E-5</v>
      </c>
      <c r="AD7">
        <f t="shared" si="13"/>
        <v>3.4440256033353232E-6</v>
      </c>
      <c r="AE7" s="11"/>
      <c r="AF7">
        <v>0.1</v>
      </c>
      <c r="AG7" s="7">
        <f t="shared" si="14"/>
        <v>1.5835611273447077E-2</v>
      </c>
      <c r="AH7">
        <f t="shared" si="15"/>
        <v>2.3703236791361709E-5</v>
      </c>
      <c r="AI7">
        <f t="shared" si="1"/>
        <v>5.4754476988045552E-6</v>
      </c>
      <c r="AJ7" s="11"/>
      <c r="AK7">
        <v>7.4999999999999997E-2</v>
      </c>
      <c r="AL7" s="7">
        <f t="shared" si="16"/>
        <v>8.9075313413139769E-3</v>
      </c>
      <c r="AM7">
        <f t="shared" si="17"/>
        <v>2.6976832330140967E-5</v>
      </c>
      <c r="AN7">
        <f t="shared" si="18"/>
        <v>1.9153550954400084E-6</v>
      </c>
      <c r="AO7" s="11"/>
      <c r="AP7">
        <v>0.05</v>
      </c>
      <c r="AQ7" s="7">
        <f t="shared" si="19"/>
        <v>3.9589028183617692E-3</v>
      </c>
      <c r="AR7">
        <f t="shared" si="20"/>
        <v>2.9315114857840429E-5</v>
      </c>
      <c r="AS7">
        <f t="shared" si="21"/>
        <v>9.0876856059305326E-7</v>
      </c>
      <c r="AT7" s="11"/>
      <c r="AU7">
        <v>2.5000000000000001E-2</v>
      </c>
      <c r="AV7" s="7">
        <f t="shared" si="22"/>
        <v>9.8972570459044231E-4</v>
      </c>
      <c r="AW7">
        <f t="shared" si="23"/>
        <v>3.0718084374460109E-5</v>
      </c>
      <c r="AX7">
        <f t="shared" si="24"/>
        <v>1.2287233749784043E-7</v>
      </c>
      <c r="AZ7">
        <v>1E-3</v>
      </c>
      <c r="BA7" s="7">
        <f t="shared" si="25"/>
        <v>1.5835611273447073E-6</v>
      </c>
      <c r="BB7" s="10">
        <f t="shared" si="26"/>
        <v>3.1184992629591138E-5</v>
      </c>
      <c r="BC7" s="10">
        <f t="shared" si="27"/>
        <v>0</v>
      </c>
      <c r="BE7">
        <f t="shared" si="28"/>
        <v>2.7091976254527313E-4</v>
      </c>
      <c r="BG7" s="47">
        <v>22.39</v>
      </c>
    </row>
    <row r="8" spans="1:59" x14ac:dyDescent="0.25">
      <c r="A8" s="4">
        <v>1.4</v>
      </c>
      <c r="B8" s="5">
        <v>25.119</v>
      </c>
      <c r="C8" s="5">
        <v>5.1660000000000004</v>
      </c>
      <c r="D8" s="27">
        <f t="shared" si="2"/>
        <v>28.184004985097488</v>
      </c>
      <c r="E8" s="6" t="s">
        <v>10</v>
      </c>
      <c r="F8" s="51">
        <f t="shared" si="3"/>
        <v>2.5601284800000002E-2</v>
      </c>
      <c r="G8" s="50">
        <v>7.4999999999999997E-2</v>
      </c>
      <c r="H8" s="10">
        <f t="shared" si="0"/>
        <v>4.9425484080000011E-4</v>
      </c>
      <c r="I8" s="7">
        <f t="shared" si="4"/>
        <v>4.9425484080000012E-2</v>
      </c>
      <c r="J8">
        <v>0.1</v>
      </c>
      <c r="L8">
        <v>0.3</v>
      </c>
      <c r="M8" s="7">
        <f t="shared" si="5"/>
        <v>0.14252050146102363</v>
      </c>
      <c r="N8">
        <f t="shared" si="6"/>
        <v>-4.4496446267139212E-5</v>
      </c>
      <c r="O8">
        <v>0</v>
      </c>
      <c r="P8" s="17"/>
      <c r="Q8" s="26">
        <v>0.25</v>
      </c>
      <c r="R8" s="7">
        <f t="shared" si="7"/>
        <v>9.8972570459044187E-2</v>
      </c>
      <c r="S8">
        <f t="shared" si="8"/>
        <v>-1.5798078661068897E-5</v>
      </c>
      <c r="T8" s="26">
        <v>0</v>
      </c>
      <c r="U8" s="17"/>
      <c r="V8">
        <v>0.2</v>
      </c>
      <c r="W8" s="7">
        <f t="shared" si="9"/>
        <v>6.3342445093788308E-2</v>
      </c>
      <c r="X8">
        <f t="shared" si="10"/>
        <v>7.6824039257158937E-6</v>
      </c>
      <c r="Y8">
        <f t="shared" ref="Y8:Y11" si="29">X8*0.186</f>
        <v>1.4289271301831562E-6</v>
      </c>
      <c r="Z8" s="11"/>
      <c r="AA8">
        <v>0.15</v>
      </c>
      <c r="AB8" s="7">
        <f t="shared" si="11"/>
        <v>3.5630125365255907E-2</v>
      </c>
      <c r="AC8">
        <f t="shared" si="12"/>
        <v>2.5945001493215206E-5</v>
      </c>
      <c r="AD8">
        <f t="shared" si="13"/>
        <v>6.2268003583716493E-6</v>
      </c>
      <c r="AE8" s="11"/>
      <c r="AF8">
        <v>0.1</v>
      </c>
      <c r="AG8" s="7">
        <f t="shared" si="14"/>
        <v>1.5835611273447077E-2</v>
      </c>
      <c r="AH8">
        <f t="shared" si="15"/>
        <v>3.898971404142898E-5</v>
      </c>
      <c r="AI8">
        <f t="shared" si="1"/>
        <v>9.0066239435700943E-6</v>
      </c>
      <c r="AJ8" s="11"/>
      <c r="AK8">
        <v>7.4999999999999997E-2</v>
      </c>
      <c r="AL8" s="7">
        <f t="shared" si="16"/>
        <v>8.9075313413139769E-3</v>
      </c>
      <c r="AM8">
        <f t="shared" si="17"/>
        <v>4.3555363433303809E-5</v>
      </c>
      <c r="AN8">
        <f t="shared" si="18"/>
        <v>3.0924308037645703E-6</v>
      </c>
      <c r="AO8" s="11"/>
      <c r="AP8">
        <v>0.05</v>
      </c>
      <c r="AQ8" s="7">
        <f t="shared" si="19"/>
        <v>3.9589028183617692E-3</v>
      </c>
      <c r="AR8">
        <f t="shared" si="20"/>
        <v>4.6816541570357252E-5</v>
      </c>
      <c r="AS8">
        <f t="shared" si="21"/>
        <v>1.4513127886810748E-6</v>
      </c>
      <c r="AT8" s="11"/>
      <c r="AU8">
        <v>2.5000000000000001E-2</v>
      </c>
      <c r="AV8" s="7">
        <f t="shared" si="22"/>
        <v>9.8972570459044231E-4</v>
      </c>
      <c r="AW8">
        <f t="shared" si="23"/>
        <v>4.8773248452589321E-5</v>
      </c>
      <c r="AX8">
        <f t="shared" si="24"/>
        <v>1.9509299381035728E-7</v>
      </c>
      <c r="AZ8">
        <v>1E-3</v>
      </c>
      <c r="BA8" s="7">
        <f t="shared" si="25"/>
        <v>1.5835611273447073E-6</v>
      </c>
      <c r="BB8" s="10">
        <f t="shared" si="26"/>
        <v>4.9424440502996154E-5</v>
      </c>
      <c r="BC8" s="10">
        <f t="shared" si="27"/>
        <v>0</v>
      </c>
      <c r="BE8">
        <f t="shared" si="28"/>
        <v>6.0308547835797384E-4</v>
      </c>
      <c r="BG8" s="47">
        <v>28.18</v>
      </c>
    </row>
    <row r="9" spans="1:59" x14ac:dyDescent="0.25">
      <c r="A9" s="4">
        <v>1.5</v>
      </c>
      <c r="B9" s="5">
        <v>31.623000000000001</v>
      </c>
      <c r="C9" s="5">
        <v>6.5039999999999996</v>
      </c>
      <c r="D9" s="27">
        <f t="shared" si="2"/>
        <v>35.481590339216758</v>
      </c>
      <c r="E9" s="6" t="s">
        <v>11</v>
      </c>
      <c r="F9" s="51">
        <f t="shared" si="3"/>
        <v>3.2230161600000001E-2</v>
      </c>
      <c r="G9" s="50">
        <v>8.5000000000000006E-2</v>
      </c>
      <c r="H9" s="10">
        <f t="shared" si="0"/>
        <v>7.8334246853333357E-4</v>
      </c>
      <c r="I9" s="7">
        <f t="shared" si="4"/>
        <v>7.8334246853333359E-2</v>
      </c>
      <c r="J9">
        <v>0.1</v>
      </c>
      <c r="L9">
        <v>0.3</v>
      </c>
      <c r="M9" s="7">
        <f t="shared" si="5"/>
        <v>0.14252050146102363</v>
      </c>
      <c r="N9">
        <f t="shared" si="6"/>
        <v>-5.3009707771474662E-5</v>
      </c>
      <c r="O9">
        <v>0</v>
      </c>
      <c r="P9" s="17"/>
      <c r="Q9" s="26">
        <v>0.25</v>
      </c>
      <c r="R9" s="7">
        <f t="shared" si="7"/>
        <v>9.8972570459044187E-2</v>
      </c>
      <c r="S9">
        <f t="shared" si="8"/>
        <v>-1.2876832747227759E-5</v>
      </c>
      <c r="T9" s="26">
        <v>0</v>
      </c>
      <c r="U9" s="17"/>
      <c r="V9">
        <v>0.2</v>
      </c>
      <c r="W9" s="7">
        <f t="shared" si="9"/>
        <v>6.3342445093788308E-2</v>
      </c>
      <c r="X9">
        <f t="shared" si="10"/>
        <v>1.9959155908974211E-5</v>
      </c>
      <c r="Y9">
        <f t="shared" si="29"/>
        <v>3.7124029990692032E-6</v>
      </c>
      <c r="Z9" s="11"/>
      <c r="AA9">
        <v>0.15</v>
      </c>
      <c r="AB9" s="7">
        <f t="shared" si="11"/>
        <v>3.5630125365255907E-2</v>
      </c>
      <c r="AC9">
        <f t="shared" si="12"/>
        <v>4.5498258197131356E-5</v>
      </c>
      <c r="AD9">
        <f t="shared" si="13"/>
        <v>1.0919581967311525E-5</v>
      </c>
      <c r="AE9" s="11"/>
      <c r="AF9">
        <v>0.1</v>
      </c>
      <c r="AG9" s="7">
        <f t="shared" si="14"/>
        <v>1.5835611273447077E-2</v>
      </c>
      <c r="AH9">
        <f t="shared" si="15"/>
        <v>6.3740474117243576E-5</v>
      </c>
      <c r="AI9">
        <f t="shared" si="1"/>
        <v>1.4724049521083267E-5</v>
      </c>
      <c r="AJ9" s="11"/>
      <c r="AK9">
        <v>7.4999999999999997E-2</v>
      </c>
      <c r="AL9" s="7">
        <f t="shared" si="16"/>
        <v>8.9075313413139769E-3</v>
      </c>
      <c r="AM9">
        <f t="shared" si="17"/>
        <v>7.0125249689282864E-5</v>
      </c>
      <c r="AN9">
        <f t="shared" si="18"/>
        <v>4.9788927279390828E-6</v>
      </c>
      <c r="AO9" s="11"/>
      <c r="AP9">
        <v>0.05</v>
      </c>
      <c r="AQ9" s="7">
        <f t="shared" si="19"/>
        <v>3.9589028183617692E-3</v>
      </c>
      <c r="AR9">
        <f t="shared" si="20"/>
        <v>7.4685803669310917E-5</v>
      </c>
      <c r="AS9">
        <f t="shared" si="21"/>
        <v>2.3152599137486385E-6</v>
      </c>
      <c r="AT9" s="11"/>
      <c r="AU9">
        <v>2.5000000000000001E-2</v>
      </c>
      <c r="AV9" s="7">
        <f t="shared" si="22"/>
        <v>9.8972570459044231E-4</v>
      </c>
      <c r="AW9">
        <f t="shared" si="23"/>
        <v>7.7422136057327749E-5</v>
      </c>
      <c r="AX9">
        <f t="shared" si="24"/>
        <v>3.0968854422931101E-7</v>
      </c>
      <c r="AZ9">
        <v>1E-3</v>
      </c>
      <c r="BA9" s="7">
        <f t="shared" si="25"/>
        <v>1.5835611273447073E-6</v>
      </c>
      <c r="BB9" s="10">
        <f t="shared" si="26"/>
        <v>7.8332787476059751E-5</v>
      </c>
      <c r="BC9" s="10">
        <f t="shared" si="27"/>
        <v>0</v>
      </c>
      <c r="BE9">
        <f t="shared" si="28"/>
        <v>1.3113363888915587E-3</v>
      </c>
      <c r="BG9" s="47">
        <v>35.479999999999997</v>
      </c>
    </row>
    <row r="10" spans="1:59" x14ac:dyDescent="0.25">
      <c r="A10" s="4">
        <v>1.6</v>
      </c>
      <c r="B10" s="5">
        <v>39.811</v>
      </c>
      <c r="C10" s="5">
        <v>8.1880000000000006</v>
      </c>
      <c r="D10" s="27">
        <f t="shared" si="2"/>
        <v>44.668641226256256</v>
      </c>
      <c r="E10" s="6" t="s">
        <v>12</v>
      </c>
      <c r="F10" s="51">
        <f t="shared" si="3"/>
        <v>4.0575371200000002E-2</v>
      </c>
      <c r="G10" s="50">
        <v>9.7000000000000003E-2</v>
      </c>
      <c r="H10" s="10">
        <f t="shared" si="0"/>
        <v>1.2415122278222224E-3</v>
      </c>
      <c r="I10" s="7">
        <f t="shared" si="4"/>
        <v>0.12415122278222224</v>
      </c>
      <c r="J10">
        <v>0.1</v>
      </c>
      <c r="L10">
        <v>0.3</v>
      </c>
      <c r="M10" s="7">
        <f t="shared" si="5"/>
        <v>0.14252050146102363</v>
      </c>
      <c r="N10">
        <f t="shared" si="6"/>
        <v>-5.8262122866453792E-5</v>
      </c>
      <c r="O10">
        <v>0</v>
      </c>
      <c r="P10" s="17"/>
      <c r="Q10" s="26">
        <v>0.25</v>
      </c>
      <c r="R10" s="7">
        <f t="shared" si="7"/>
        <v>9.8972570459044187E-2</v>
      </c>
      <c r="S10">
        <f t="shared" si="8"/>
        <v>-2.5247116960250123E-6</v>
      </c>
      <c r="T10" s="26">
        <v>0</v>
      </c>
      <c r="U10" s="17"/>
      <c r="V10">
        <v>0.2</v>
      </c>
      <c r="W10" s="7">
        <f t="shared" si="9"/>
        <v>6.3342445093788308E-2</v>
      </c>
      <c r="X10">
        <f t="shared" si="10"/>
        <v>4.3078624716143972E-5</v>
      </c>
      <c r="Y10">
        <f t="shared" si="29"/>
        <v>8.0126241972027794E-6</v>
      </c>
      <c r="Z10" s="11"/>
      <c r="AA10">
        <v>0.15</v>
      </c>
      <c r="AB10" s="7">
        <f t="shared" si="11"/>
        <v>3.5630125365255907E-2</v>
      </c>
      <c r="AC10">
        <f t="shared" si="12"/>
        <v>7.8547886370053234E-5</v>
      </c>
      <c r="AD10">
        <f t="shared" si="13"/>
        <v>1.8851492728812774E-5</v>
      </c>
      <c r="AE10" s="11"/>
      <c r="AF10">
        <v>0.1</v>
      </c>
      <c r="AG10" s="7">
        <f t="shared" si="14"/>
        <v>1.5835611273447077E-2</v>
      </c>
      <c r="AH10">
        <f t="shared" si="15"/>
        <v>1.0388307326570268E-4</v>
      </c>
      <c r="AI10">
        <f t="shared" si="1"/>
        <v>2.3996989924377319E-5</v>
      </c>
      <c r="AJ10" s="11"/>
      <c r="AK10">
        <v>7.4999999999999997E-2</v>
      </c>
      <c r="AL10" s="7">
        <f t="shared" si="16"/>
        <v>8.9075313413139769E-3</v>
      </c>
      <c r="AM10">
        <f t="shared" si="17"/>
        <v>1.1275038867918E-4</v>
      </c>
      <c r="AN10">
        <f t="shared" si="18"/>
        <v>8.0052775962217802E-6</v>
      </c>
      <c r="AO10" s="11"/>
      <c r="AP10">
        <v>0.05</v>
      </c>
      <c r="AQ10" s="7">
        <f t="shared" si="19"/>
        <v>3.9589028183617692E-3</v>
      </c>
      <c r="AR10">
        <f t="shared" si="20"/>
        <v>1.1908418540309235E-4</v>
      </c>
      <c r="AS10">
        <f t="shared" si="21"/>
        <v>3.6916097474958627E-6</v>
      </c>
      <c r="AT10" s="11"/>
      <c r="AU10">
        <v>2.5000000000000001E-2</v>
      </c>
      <c r="AV10" s="7">
        <f t="shared" si="22"/>
        <v>9.8972570459044231E-4</v>
      </c>
      <c r="AW10">
        <f t="shared" si="23"/>
        <v>1.2288446343743976E-4</v>
      </c>
      <c r="AX10">
        <f t="shared" si="24"/>
        <v>4.9153785374975901E-7</v>
      </c>
      <c r="AZ10">
        <v>1E-3</v>
      </c>
      <c r="BA10" s="7">
        <f t="shared" si="25"/>
        <v>1.5835611273447073E-6</v>
      </c>
      <c r="BB10" s="10">
        <f t="shared" si="26"/>
        <v>1.2414919596727059E-4</v>
      </c>
      <c r="BC10" s="10">
        <f t="shared" si="27"/>
        <v>0</v>
      </c>
      <c r="BE10">
        <f t="shared" si="28"/>
        <v>2.8164225965779189E-3</v>
      </c>
      <c r="BG10" s="47">
        <v>44.67</v>
      </c>
    </row>
    <row r="11" spans="1:59" x14ac:dyDescent="0.25">
      <c r="A11" s="4">
        <v>1.7</v>
      </c>
      <c r="B11" s="5">
        <v>50.119</v>
      </c>
      <c r="C11" s="5">
        <v>10.308</v>
      </c>
      <c r="D11" s="27">
        <f t="shared" si="2"/>
        <v>56.234406051811376</v>
      </c>
      <c r="E11" s="6" t="s">
        <v>13</v>
      </c>
      <c r="F11" s="51">
        <f t="shared" si="3"/>
        <v>5.1081284800000001E-2</v>
      </c>
      <c r="G11" s="50">
        <v>0.11</v>
      </c>
      <c r="H11" s="10">
        <f t="shared" si="0"/>
        <v>1.9676585749333333E-3</v>
      </c>
      <c r="I11" s="7">
        <f t="shared" si="4"/>
        <v>0.19676585749333333</v>
      </c>
      <c r="J11">
        <v>0.1</v>
      </c>
      <c r="L11">
        <v>0.3</v>
      </c>
      <c r="M11" s="7">
        <f t="shared" si="5"/>
        <v>0.14252050146102363</v>
      </c>
      <c r="N11">
        <f t="shared" si="6"/>
        <v>-5.8172039600831957E-5</v>
      </c>
      <c r="O11">
        <v>0</v>
      </c>
      <c r="P11" s="17"/>
      <c r="Q11" s="26">
        <v>0.25</v>
      </c>
      <c r="R11" s="7">
        <f t="shared" si="7"/>
        <v>9.8972570459044187E-2</v>
      </c>
      <c r="S11">
        <f t="shared" si="8"/>
        <v>1.9725651177940778E-5</v>
      </c>
      <c r="T11">
        <f>S11*0.136</f>
        <v>2.6826885601999461E-6</v>
      </c>
      <c r="U11" s="17"/>
      <c r="V11">
        <v>0.2</v>
      </c>
      <c r="W11" s="7">
        <f t="shared" si="9"/>
        <v>6.3342445093788308E-2</v>
      </c>
      <c r="X11">
        <f t="shared" si="10"/>
        <v>8.3460125451482065E-5</v>
      </c>
      <c r="Y11">
        <f t="shared" si="29"/>
        <v>1.5523583333975664E-5</v>
      </c>
      <c r="Z11" s="11"/>
      <c r="AA11">
        <v>0.15</v>
      </c>
      <c r="AB11" s="7">
        <f t="shared" si="11"/>
        <v>3.5630125365255907E-2</v>
      </c>
      <c r="AC11">
        <f t="shared" si="12"/>
        <v>1.3303138321979201E-4</v>
      </c>
      <c r="AD11">
        <f t="shared" si="13"/>
        <v>3.1927531972750079E-5</v>
      </c>
      <c r="AE11" s="11"/>
      <c r="AF11">
        <v>0.1</v>
      </c>
      <c r="AG11" s="7">
        <f t="shared" si="14"/>
        <v>1.5835611273447077E-2</v>
      </c>
      <c r="AH11">
        <f t="shared" si="15"/>
        <v>1.6843942448287053E-4</v>
      </c>
      <c r="AI11">
        <f t="shared" si="1"/>
        <v>3.8909507055543091E-5</v>
      </c>
      <c r="AJ11" s="11"/>
      <c r="AK11">
        <v>7.4999999999999997E-2</v>
      </c>
      <c r="AL11" s="7">
        <f t="shared" si="16"/>
        <v>8.9075313413139769E-3</v>
      </c>
      <c r="AM11">
        <f t="shared" si="17"/>
        <v>1.8083223892494799E-4</v>
      </c>
      <c r="AN11">
        <f t="shared" si="18"/>
        <v>1.2839088963671306E-5</v>
      </c>
      <c r="AO11" s="11"/>
      <c r="AP11">
        <v>0.05</v>
      </c>
      <c r="AQ11" s="7">
        <f t="shared" si="19"/>
        <v>3.9589028183617692E-3</v>
      </c>
      <c r="AR11">
        <f t="shared" si="20"/>
        <v>1.8968424924071766E-4</v>
      </c>
      <c r="AS11">
        <f t="shared" si="21"/>
        <v>5.8802117264622475E-6</v>
      </c>
      <c r="AT11" s="11"/>
      <c r="AU11">
        <v>2.5000000000000001E-2</v>
      </c>
      <c r="AV11" s="7">
        <f t="shared" si="22"/>
        <v>9.8972570459044231E-4</v>
      </c>
      <c r="AW11">
        <f t="shared" si="23"/>
        <v>1.9499545543017941E-4</v>
      </c>
      <c r="AX11">
        <f t="shared" si="24"/>
        <v>7.7998182172071764E-7</v>
      </c>
      <c r="AZ11">
        <v>1E-3</v>
      </c>
      <c r="BA11" s="7">
        <f t="shared" si="25"/>
        <v>1.5835611273447073E-6</v>
      </c>
      <c r="BB11" s="10">
        <f t="shared" si="26"/>
        <v>1.967630248500323E-4</v>
      </c>
      <c r="BC11" s="10">
        <f t="shared" si="27"/>
        <v>0</v>
      </c>
      <c r="BE11">
        <f t="shared" si="28"/>
        <v>6.1033500288119854E-3</v>
      </c>
      <c r="BG11" s="47">
        <v>56.23</v>
      </c>
    </row>
    <row r="12" spans="1:59" x14ac:dyDescent="0.25">
      <c r="A12" s="4">
        <v>1.8</v>
      </c>
      <c r="B12" s="5">
        <v>63.095999999999997</v>
      </c>
      <c r="C12" s="5">
        <v>12.977</v>
      </c>
      <c r="D12" s="5"/>
      <c r="G12" s="18">
        <v>0.124</v>
      </c>
      <c r="I12" s="11" t="s">
        <v>18</v>
      </c>
      <c r="J12" s="11">
        <f>SUM(J4:J11)</f>
        <v>0.79999999999999993</v>
      </c>
      <c r="O12" s="46">
        <v>0</v>
      </c>
      <c r="P12" s="17"/>
      <c r="Q12" s="26"/>
      <c r="R12" s="26"/>
      <c r="S12" s="26"/>
      <c r="T12" s="48">
        <f>SUM(T4:T11)</f>
        <v>2.6826885601999461E-6</v>
      </c>
      <c r="U12" s="17"/>
      <c r="Y12" s="48">
        <f>SUM(Y4:Y11)</f>
        <v>2.8911102422163912E-5</v>
      </c>
      <c r="Z12" s="11"/>
      <c r="AD12" s="48">
        <f>SUM(AD4:AD11)</f>
        <v>7.4601769669932781E-5</v>
      </c>
      <c r="AE12" s="11"/>
      <c r="AI12" s="46">
        <f>SUM(AI4:AI11)</f>
        <v>9.8619019464463853E-5</v>
      </c>
      <c r="AJ12" s="11"/>
      <c r="AN12" s="46">
        <f>SUM(AN4:AN11)</f>
        <v>3.3196097677412117E-5</v>
      </c>
      <c r="AO12" s="11"/>
      <c r="AS12" s="46">
        <f>SUM(AS4:AS11)</f>
        <v>1.5393702094897987E-5</v>
      </c>
      <c r="AT12" s="11"/>
      <c r="AX12" s="46">
        <f>SUM(AX4:AX11)</f>
        <v>2.0559330144126234E-6</v>
      </c>
      <c r="BC12" s="46">
        <v>0</v>
      </c>
      <c r="BD12" s="11" t="s">
        <v>89</v>
      </c>
      <c r="BE12" s="55">
        <f>SUM(BE4:BE11)</f>
        <v>1.1313484333998033E-2</v>
      </c>
    </row>
    <row r="13" spans="1:59" x14ac:dyDescent="0.25">
      <c r="F13" t="s">
        <v>52</v>
      </c>
      <c r="G13" t="s">
        <v>56</v>
      </c>
      <c r="M13" t="s">
        <v>58</v>
      </c>
      <c r="O13" s="26"/>
      <c r="P13" s="17"/>
      <c r="Q13" s="26"/>
      <c r="R13" s="26"/>
      <c r="S13" s="26"/>
      <c r="T13" s="26">
        <f>100*T12/BE13</f>
        <v>1.0501390723707078</v>
      </c>
      <c r="U13" s="17"/>
      <c r="Y13" s="26">
        <f>100*Y12/BE13</f>
        <v>11.31725789167375</v>
      </c>
      <c r="Z13" s="11"/>
      <c r="AD13" s="25">
        <f>100*AD12/0.00025546</f>
        <v>29.202916178631792</v>
      </c>
      <c r="AI13" s="25">
        <f>100*AI12/0.00025546</f>
        <v>38.604485815573419</v>
      </c>
      <c r="AJ13" s="11"/>
      <c r="AN13" s="25">
        <f>100*AN12/0.00025546</f>
        <v>12.994636216007247</v>
      </c>
      <c r="AO13" s="11"/>
      <c r="AS13" s="25">
        <f>100*AS12/0.00025546</f>
        <v>6.0258757124003708</v>
      </c>
      <c r="AT13" s="25"/>
      <c r="AX13" s="25">
        <f>100*AX12/0.00025546</f>
        <v>0.80479645126932731</v>
      </c>
      <c r="BB13" t="s">
        <v>92</v>
      </c>
      <c r="BC13" s="25">
        <f>100*BC12/0.00025546</f>
        <v>0</v>
      </c>
      <c r="BD13" s="11" t="s">
        <v>90</v>
      </c>
      <c r="BE13" s="55">
        <f>O12+T12+Y12+AD12+AI12+AN12+AS12+AX12+BC12</f>
        <v>2.5546031290348323E-4</v>
      </c>
      <c r="BF13" s="56">
        <f>BE12/BE13</f>
        <v>44.286661225035132</v>
      </c>
      <c r="BG13" t="s">
        <v>91</v>
      </c>
    </row>
    <row r="14" spans="1:59" x14ac:dyDescent="0.25">
      <c r="H14" t="s">
        <v>15</v>
      </c>
      <c r="I14" s="6" t="s">
        <v>84</v>
      </c>
      <c r="J14" t="s">
        <v>85</v>
      </c>
      <c r="L14" t="s">
        <v>48</v>
      </c>
      <c r="O14"/>
      <c r="P14" s="17"/>
      <c r="Q14" s="26"/>
      <c r="R14" s="26"/>
      <c r="S14" s="26"/>
      <c r="T14" s="26"/>
      <c r="U14" s="17"/>
      <c r="Y14"/>
      <c r="Z14" s="11"/>
      <c r="AD14"/>
      <c r="AE14" s="11"/>
      <c r="AI14"/>
      <c r="AJ14" s="11"/>
      <c r="AN14"/>
      <c r="AO14" s="11"/>
      <c r="AS14"/>
      <c r="AT14" s="11"/>
      <c r="BC14">
        <f>T13+Y13+AD13+AI13+AN13+AS13+AX13</f>
        <v>100.00010733792662</v>
      </c>
    </row>
    <row r="15" spans="1:59" x14ac:dyDescent="0.25">
      <c r="H15" s="42" t="s">
        <v>36</v>
      </c>
      <c r="I15" s="43">
        <v>0.10100000000000001</v>
      </c>
      <c r="J15" s="43">
        <v>5.0000000000000001E-3</v>
      </c>
      <c r="L15" t="s">
        <v>26</v>
      </c>
      <c r="O15"/>
      <c r="P15" s="17"/>
      <c r="Q15" s="26"/>
      <c r="R15" s="26"/>
      <c r="S15" s="26"/>
      <c r="T15" s="26"/>
      <c r="U15" s="17"/>
      <c r="Y15"/>
      <c r="Z15" s="11"/>
      <c r="AD15"/>
      <c r="AE15" s="11"/>
      <c r="AI15"/>
      <c r="AJ15" s="11"/>
      <c r="AN15"/>
      <c r="AO15" s="11"/>
      <c r="AS15"/>
      <c r="AT15" s="11"/>
      <c r="BE15" t="s">
        <v>79</v>
      </c>
    </row>
    <row r="16" spans="1:59" ht="15.75" customHeight="1" x14ac:dyDescent="0.25">
      <c r="A16" s="40" t="s">
        <v>82</v>
      </c>
      <c r="B16" s="41"/>
      <c r="C16" s="41"/>
      <c r="D16" s="41"/>
      <c r="E16" s="40"/>
      <c r="F16" s="41"/>
      <c r="G16" s="41"/>
      <c r="H16" s="42" t="s">
        <v>38</v>
      </c>
      <c r="I16" s="43">
        <v>0.13600000000000001</v>
      </c>
      <c r="J16" s="43">
        <v>2.1000000000000001E-2</v>
      </c>
      <c r="L16" t="s">
        <v>27</v>
      </c>
      <c r="O16"/>
      <c r="P16" s="17"/>
      <c r="Q16" s="26"/>
      <c r="R16" s="26"/>
      <c r="S16" s="26"/>
      <c r="T16" s="26"/>
      <c r="U16" s="17"/>
      <c r="Y16"/>
      <c r="Z16" s="11"/>
      <c r="AD16"/>
      <c r="AE16" s="11"/>
      <c r="AI16"/>
      <c r="AJ16" s="11"/>
      <c r="AN16"/>
      <c r="AO16" s="11"/>
      <c r="AS16"/>
      <c r="AT16" s="11"/>
    </row>
    <row r="17" spans="1:46" x14ac:dyDescent="0.25">
      <c r="A17" s="41"/>
      <c r="B17" s="41" t="s">
        <v>64</v>
      </c>
      <c r="C17" s="41" t="s">
        <v>65</v>
      </c>
      <c r="D17" s="41" t="s">
        <v>66</v>
      </c>
      <c r="E17" s="40" t="s">
        <v>63</v>
      </c>
      <c r="F17" s="41"/>
      <c r="G17" s="41"/>
      <c r="H17" s="42" t="s">
        <v>37</v>
      </c>
      <c r="I17" s="43">
        <v>0.186</v>
      </c>
      <c r="J17" s="43">
        <v>8.3000000000000004E-2</v>
      </c>
      <c r="L17" s="37" t="s">
        <v>59</v>
      </c>
      <c r="M17" s="1" t="s">
        <v>57</v>
      </c>
      <c r="O17"/>
      <c r="P17" s="17"/>
      <c r="Q17" s="37" t="s">
        <v>59</v>
      </c>
      <c r="R17" s="1" t="s">
        <v>57</v>
      </c>
      <c r="S17" s="26"/>
      <c r="T17" s="26"/>
      <c r="U17" s="17"/>
      <c r="V17" s="37" t="s">
        <v>59</v>
      </c>
      <c r="W17" s="1" t="s">
        <v>57</v>
      </c>
      <c r="Y17"/>
      <c r="Z17" s="11"/>
      <c r="AA17" s="37" t="s">
        <v>59</v>
      </c>
      <c r="AB17" s="1" t="s">
        <v>57</v>
      </c>
      <c r="AD17"/>
      <c r="AE17" s="11"/>
      <c r="AF17" s="37" t="s">
        <v>59</v>
      </c>
      <c r="AG17" s="1" t="s">
        <v>57</v>
      </c>
      <c r="AI17"/>
      <c r="AJ17" s="11"/>
      <c r="AK17" s="37" t="s">
        <v>59</v>
      </c>
      <c r="AL17" s="1" t="s">
        <v>57</v>
      </c>
      <c r="AN17"/>
      <c r="AO17" s="11"/>
      <c r="AP17" s="37" t="s">
        <v>59</v>
      </c>
      <c r="AQ17" s="1" t="s">
        <v>57</v>
      </c>
      <c r="AS17"/>
      <c r="AT17" s="11"/>
    </row>
    <row r="18" spans="1:46" x14ac:dyDescent="0.25">
      <c r="A18" s="40" t="s">
        <v>60</v>
      </c>
      <c r="B18" s="41" t="s">
        <v>67</v>
      </c>
      <c r="C18" s="41"/>
      <c r="D18" s="41" t="s">
        <v>70</v>
      </c>
      <c r="E18" s="40"/>
      <c r="F18" s="41" t="s">
        <v>73</v>
      </c>
      <c r="G18" s="40" t="s">
        <v>76</v>
      </c>
      <c r="H18" s="42" t="s">
        <v>39</v>
      </c>
      <c r="I18" s="43">
        <v>0.24</v>
      </c>
      <c r="J18" s="43">
        <v>0.17199999999999999</v>
      </c>
      <c r="L18">
        <v>0.3</v>
      </c>
      <c r="M18">
        <f>0.0015*1050*L18^2</f>
        <v>0.14174999999999999</v>
      </c>
      <c r="O18"/>
      <c r="P18" s="17"/>
      <c r="Q18" s="26">
        <v>0.25</v>
      </c>
      <c r="R18">
        <f>0.0015*1050*Q18^2</f>
        <v>9.8437499999999997E-2</v>
      </c>
      <c r="S18" s="26"/>
      <c r="T18" s="26"/>
      <c r="U18" s="17"/>
      <c r="V18">
        <v>0.2</v>
      </c>
      <c r="W18">
        <f>0.0015*1050*V18^2</f>
        <v>6.3000000000000014E-2</v>
      </c>
      <c r="Y18"/>
      <c r="Z18" s="11"/>
      <c r="AA18">
        <v>0.15</v>
      </c>
      <c r="AB18">
        <f>0.0015*1050*AA18^2</f>
        <v>3.5437499999999997E-2</v>
      </c>
      <c r="AD18"/>
      <c r="AE18" s="11"/>
      <c r="AI18"/>
      <c r="AJ18" s="11"/>
      <c r="AN18"/>
      <c r="AO18" s="11"/>
      <c r="AS18"/>
      <c r="AT18" s="11"/>
    </row>
    <row r="19" spans="1:46" x14ac:dyDescent="0.25">
      <c r="A19" s="40" t="s">
        <v>61</v>
      </c>
      <c r="B19" s="41" t="s">
        <v>68</v>
      </c>
      <c r="C19" s="41"/>
      <c r="D19" s="41" t="s">
        <v>71</v>
      </c>
      <c r="E19" s="40"/>
      <c r="F19" s="41" t="s">
        <v>74</v>
      </c>
      <c r="G19" s="40" t="s">
        <v>77</v>
      </c>
      <c r="H19" s="42" t="s">
        <v>40</v>
      </c>
      <c r="I19" s="43">
        <v>0.23100000000000001</v>
      </c>
      <c r="J19" s="43">
        <v>0.22500000000000001</v>
      </c>
      <c r="O19"/>
      <c r="P19" s="17"/>
      <c r="Q19" s="26"/>
      <c r="R19" s="26"/>
      <c r="S19" s="26"/>
      <c r="T19" s="26"/>
      <c r="U19" s="17"/>
      <c r="Y19"/>
      <c r="Z19" s="11"/>
      <c r="AD19"/>
      <c r="AE19" s="11"/>
      <c r="AI19"/>
      <c r="AJ19" s="11"/>
      <c r="AN19"/>
      <c r="AO19" s="11"/>
      <c r="AS19"/>
      <c r="AT19" s="11"/>
    </row>
    <row r="20" spans="1:46" x14ac:dyDescent="0.25">
      <c r="A20" s="40" t="s">
        <v>62</v>
      </c>
      <c r="B20" s="41" t="s">
        <v>69</v>
      </c>
      <c r="C20" s="41"/>
      <c r="D20" s="41" t="s">
        <v>72</v>
      </c>
      <c r="E20" s="40"/>
      <c r="F20" s="41" t="s">
        <v>75</v>
      </c>
      <c r="G20" s="40" t="s">
        <v>78</v>
      </c>
      <c r="H20" s="42" t="s">
        <v>41</v>
      </c>
      <c r="I20" s="43">
        <v>7.0999999999999994E-2</v>
      </c>
      <c r="J20" s="43">
        <v>0.11</v>
      </c>
      <c r="O20"/>
      <c r="P20" s="17"/>
      <c r="Q20" s="26"/>
      <c r="R20" s="26"/>
      <c r="S20" s="26"/>
      <c r="T20" s="26"/>
      <c r="U20" s="17"/>
      <c r="Y20"/>
      <c r="Z20" s="11"/>
      <c r="AD20"/>
      <c r="AE20" s="11"/>
      <c r="AI20"/>
      <c r="AJ20" s="11"/>
      <c r="AN20"/>
      <c r="AO20" s="11"/>
      <c r="AS20"/>
      <c r="AT20" s="11"/>
    </row>
    <row r="21" spans="1:46" x14ac:dyDescent="0.25">
      <c r="A21" s="40" t="s">
        <v>63</v>
      </c>
      <c r="B21" s="41"/>
      <c r="C21" s="41"/>
      <c r="D21" s="41"/>
      <c r="E21" s="40"/>
      <c r="F21" s="41" t="s">
        <v>79</v>
      </c>
      <c r="G21" s="40" t="s">
        <v>80</v>
      </c>
      <c r="H21" s="42" t="s">
        <v>42</v>
      </c>
      <c r="I21" s="43">
        <v>3.1E-2</v>
      </c>
      <c r="J21" s="43">
        <v>0.13600000000000001</v>
      </c>
      <c r="O21"/>
      <c r="P21" s="17"/>
      <c r="Q21" s="26"/>
      <c r="R21" s="26"/>
      <c r="S21" s="26"/>
      <c r="T21" s="26"/>
      <c r="U21" s="17"/>
      <c r="Y21"/>
      <c r="Z21" s="11"/>
      <c r="AD21"/>
      <c r="AE21" s="11"/>
      <c r="AI21"/>
      <c r="AJ21" s="11"/>
      <c r="AN21"/>
      <c r="AO21" s="11"/>
      <c r="AS21"/>
      <c r="AT21" s="11"/>
    </row>
    <row r="22" spans="1:46" x14ac:dyDescent="0.25">
      <c r="A22" s="41" t="s">
        <v>83</v>
      </c>
      <c r="B22" s="41"/>
      <c r="C22" s="41"/>
      <c r="D22" s="41"/>
      <c r="E22" s="40"/>
      <c r="F22" s="41" t="s">
        <v>81</v>
      </c>
      <c r="G22" s="41"/>
      <c r="H22" s="42" t="s">
        <v>43</v>
      </c>
      <c r="I22" s="43">
        <v>4.0000000000000001E-3</v>
      </c>
      <c r="J22" s="43">
        <v>0.14099999999999999</v>
      </c>
      <c r="O22"/>
      <c r="P22" s="17"/>
      <c r="Q22" s="26"/>
      <c r="R22" s="26"/>
      <c r="S22" s="26"/>
      <c r="T22" s="26"/>
      <c r="U22" s="17"/>
      <c r="Y22"/>
      <c r="Z22" s="11"/>
      <c r="AD22"/>
      <c r="AE22" s="11"/>
      <c r="AI22"/>
      <c r="AJ22" s="11"/>
      <c r="AN22"/>
      <c r="AO22" s="11"/>
      <c r="AS22"/>
      <c r="AT22" s="11"/>
    </row>
    <row r="23" spans="1:46" x14ac:dyDescent="0.25">
      <c r="H23" s="42" t="s">
        <v>44</v>
      </c>
      <c r="I23" s="43">
        <v>0</v>
      </c>
      <c r="J23" s="43">
        <v>0.107</v>
      </c>
      <c r="O23"/>
      <c r="P23" s="17"/>
      <c r="Q23" s="26"/>
      <c r="R23" s="26"/>
      <c r="S23" s="26"/>
      <c r="T23" s="26"/>
      <c r="U23" s="17"/>
      <c r="Y23"/>
      <c r="Z23" s="11"/>
      <c r="AD23"/>
      <c r="AE23" s="11"/>
      <c r="AI23"/>
      <c r="AJ23" s="11"/>
      <c r="AN23"/>
      <c r="AO23" s="11"/>
      <c r="AS23"/>
      <c r="AT23" s="11"/>
    </row>
    <row r="24" spans="1:46" ht="28.5" customHeight="1" x14ac:dyDescent="0.25">
      <c r="O24"/>
      <c r="P24" s="17"/>
      <c r="Q24" s="26"/>
      <c r="R24" s="26"/>
      <c r="S24" s="26"/>
      <c r="T24" s="26"/>
      <c r="U24" s="17"/>
      <c r="Y24"/>
      <c r="Z24" s="11"/>
      <c r="AD24"/>
      <c r="AE24" s="11"/>
      <c r="AI24"/>
      <c r="AJ24" s="11"/>
      <c r="AN24"/>
      <c r="AO24" s="11"/>
      <c r="AS24"/>
      <c r="AT24" s="11"/>
    </row>
    <row r="25" spans="1:46" x14ac:dyDescent="0.25">
      <c r="O25"/>
      <c r="P25" s="17"/>
      <c r="Q25" s="26"/>
      <c r="R25" s="26"/>
      <c r="S25" s="26"/>
      <c r="T25" s="26"/>
      <c r="U25" s="17"/>
      <c r="Y25"/>
      <c r="Z25" s="11"/>
      <c r="AD25"/>
      <c r="AE25" s="11"/>
      <c r="AI25"/>
      <c r="AJ25" s="11"/>
      <c r="AN25"/>
      <c r="AO25" s="11"/>
      <c r="AS25"/>
      <c r="AT25" s="11"/>
    </row>
    <row r="26" spans="1:46" x14ac:dyDescent="0.25">
      <c r="O26"/>
      <c r="P26" s="17"/>
      <c r="Q26" s="26"/>
      <c r="R26" s="26"/>
      <c r="S26" s="26"/>
      <c r="T26" s="26"/>
      <c r="U26" s="17"/>
      <c r="Y26"/>
      <c r="Z26" s="11"/>
      <c r="AD26"/>
      <c r="AE26" s="11"/>
      <c r="AI26"/>
      <c r="AJ26" s="11"/>
      <c r="AN26"/>
      <c r="AO26" s="11"/>
      <c r="AS26"/>
      <c r="AT26" s="11"/>
    </row>
    <row r="27" spans="1:46" x14ac:dyDescent="0.25">
      <c r="O27"/>
      <c r="P27" s="17"/>
      <c r="Q27" s="26"/>
      <c r="R27" s="26"/>
      <c r="S27" s="26"/>
      <c r="T27" s="26"/>
      <c r="U27" s="17"/>
      <c r="Y27"/>
      <c r="Z27" s="11"/>
      <c r="AD27"/>
      <c r="AE27" s="11"/>
      <c r="AI27"/>
      <c r="AJ27" s="11"/>
      <c r="AN27"/>
      <c r="AO27" s="11"/>
      <c r="AS27"/>
      <c r="AT27" s="11"/>
    </row>
    <row r="28" spans="1:46" x14ac:dyDescent="0.25">
      <c r="O28"/>
      <c r="P28" s="17"/>
      <c r="Q28" s="26"/>
      <c r="R28" s="26"/>
      <c r="S28" s="26"/>
      <c r="T28" s="26"/>
      <c r="U28" s="17"/>
      <c r="Y28"/>
      <c r="Z28" s="11"/>
      <c r="AD28"/>
      <c r="AE28" s="11"/>
      <c r="AI28"/>
      <c r="AJ28" s="11"/>
      <c r="AN28"/>
      <c r="AO28" s="11"/>
      <c r="AS28"/>
      <c r="AT28" s="11"/>
    </row>
    <row r="29" spans="1:46" x14ac:dyDescent="0.25">
      <c r="O29"/>
      <c r="P29" s="17"/>
      <c r="Q29" s="26"/>
      <c r="R29" s="26"/>
      <c r="S29" s="26"/>
      <c r="T29" s="26"/>
      <c r="U29" s="17"/>
      <c r="Y29"/>
      <c r="Z29" s="11"/>
      <c r="AD29"/>
      <c r="AE29" s="11"/>
      <c r="AI29"/>
      <c r="AJ29" s="11"/>
      <c r="AN29"/>
      <c r="AO29" s="11"/>
      <c r="AS29"/>
      <c r="AT29" s="11"/>
    </row>
    <row r="30" spans="1:46" x14ac:dyDescent="0.25">
      <c r="O30"/>
      <c r="P30" s="17"/>
      <c r="Q30" s="26"/>
      <c r="R30" s="26"/>
      <c r="S30" s="26"/>
      <c r="T30" s="26"/>
      <c r="U30" s="17"/>
      <c r="Y30"/>
      <c r="Z30" s="11"/>
      <c r="AD30"/>
      <c r="AE30" s="11"/>
      <c r="AI30"/>
      <c r="AJ30" s="11"/>
      <c r="AN30"/>
      <c r="AO30" s="11"/>
      <c r="AS30"/>
      <c r="AT30" s="11"/>
    </row>
    <row r="31" spans="1:46" x14ac:dyDescent="0.25">
      <c r="O31"/>
      <c r="P31" s="17"/>
      <c r="Q31" s="26"/>
      <c r="R31" s="26"/>
      <c r="S31" s="26"/>
      <c r="T31" s="26"/>
      <c r="U31" s="17"/>
      <c r="Y31"/>
      <c r="Z31" s="11"/>
      <c r="AD31"/>
      <c r="AE31" s="11"/>
      <c r="AI31"/>
      <c r="AJ31" s="11"/>
      <c r="AN31"/>
      <c r="AO31" s="11"/>
      <c r="AS31"/>
      <c r="AT31" s="11"/>
    </row>
    <row r="32" spans="1:46" x14ac:dyDescent="0.25">
      <c r="O32"/>
      <c r="P32" s="17"/>
      <c r="Q32" s="26"/>
      <c r="R32" s="26"/>
      <c r="S32" s="26"/>
      <c r="T32" s="26"/>
      <c r="U32" s="17"/>
      <c r="Y32"/>
      <c r="Z32" s="11"/>
      <c r="AD32"/>
      <c r="AE32" s="11"/>
      <c r="AI32"/>
      <c r="AJ32" s="11"/>
      <c r="AN32"/>
      <c r="AO32" s="11"/>
      <c r="AS32"/>
      <c r="AT32" s="11"/>
    </row>
    <row r="33" spans="15:46" x14ac:dyDescent="0.25">
      <c r="O33"/>
      <c r="P33" s="17"/>
      <c r="Q33" s="26"/>
      <c r="R33" s="26"/>
      <c r="S33" s="26"/>
      <c r="T33" s="26"/>
      <c r="U33" s="17"/>
      <c r="Y33"/>
      <c r="Z33" s="11"/>
      <c r="AD33"/>
      <c r="AE33" s="11"/>
      <c r="AI33"/>
      <c r="AJ33" s="11"/>
      <c r="AN33"/>
      <c r="AO33" s="11"/>
      <c r="AS33"/>
      <c r="AT33" s="11"/>
    </row>
    <row r="34" spans="15:46" x14ac:dyDescent="0.25">
      <c r="O34"/>
      <c r="P34" s="17"/>
      <c r="Q34" s="26"/>
      <c r="R34" s="26"/>
      <c r="S34" s="26"/>
      <c r="T34" s="26"/>
      <c r="U34" s="17"/>
      <c r="Y34"/>
      <c r="Z34" s="11"/>
      <c r="AD34"/>
      <c r="AE34" s="11"/>
      <c r="AI34"/>
      <c r="AJ34" s="11"/>
      <c r="AN34"/>
      <c r="AO34" s="11"/>
      <c r="AS34"/>
      <c r="AT34" s="11"/>
    </row>
  </sheetData>
  <mergeCells count="1"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4"/>
  <sheetViews>
    <sheetView workbookViewId="0">
      <selection activeCell="H26" sqref="H26"/>
    </sheetView>
  </sheetViews>
  <sheetFormatPr defaultRowHeight="15" x14ac:dyDescent="0.25"/>
  <cols>
    <col min="1" max="1" width="11.7109375" customWidth="1"/>
    <col min="2" max="2" width="8.7109375" customWidth="1"/>
    <col min="3" max="3" width="8" customWidth="1"/>
    <col min="5" max="5" width="14.140625" style="6" customWidth="1"/>
    <col min="6" max="6" width="10.85546875" customWidth="1"/>
    <col min="7" max="7" width="9" customWidth="1"/>
    <col min="8" max="8" width="9.5703125" customWidth="1"/>
    <col min="10" max="10" width="9.28515625" customWidth="1"/>
    <col min="11" max="11" width="1.42578125" style="11" customWidth="1"/>
    <col min="12" max="12" width="6.85546875" hidden="1" customWidth="1"/>
    <col min="13" max="13" width="9.28515625" hidden="1" customWidth="1"/>
    <col min="14" max="14" width="9" customWidth="1"/>
    <col min="15" max="15" width="8.7109375" style="17" customWidth="1"/>
    <col min="16" max="16" width="1.28515625" customWidth="1"/>
    <col min="17" max="17" width="6.7109375" style="25" hidden="1" customWidth="1"/>
    <col min="18" max="18" width="7.28515625" style="25" hidden="1" customWidth="1"/>
    <col min="19" max="19" width="6.28515625" style="25" customWidth="1"/>
    <col min="20" max="20" width="6.7109375" style="25" customWidth="1"/>
    <col min="21" max="21" width="1.28515625" customWidth="1"/>
    <col min="22" max="22" width="7.7109375" hidden="1" customWidth="1"/>
    <col min="23" max="23" width="5.85546875" hidden="1" customWidth="1"/>
    <col min="24" max="24" width="7.7109375" customWidth="1"/>
    <col min="25" max="25" width="7" style="11" customWidth="1"/>
    <col min="26" max="26" width="1.28515625" customWidth="1"/>
    <col min="27" max="27" width="7.28515625" hidden="1" customWidth="1"/>
    <col min="28" max="28" width="8.42578125" hidden="1" customWidth="1"/>
    <col min="29" max="29" width="12.7109375" bestFit="1" customWidth="1"/>
    <col min="30" max="30" width="8.7109375" style="11" customWidth="1"/>
    <col min="31" max="31" width="1.28515625" customWidth="1"/>
    <col min="32" max="32" width="0" hidden="1" customWidth="1"/>
    <col min="33" max="33" width="6.5703125" hidden="1" customWidth="1"/>
    <col min="34" max="34" width="7.42578125" customWidth="1"/>
    <col min="35" max="35" width="8.28515625" style="11" customWidth="1"/>
    <col min="36" max="36" width="1.28515625" customWidth="1"/>
    <col min="37" max="37" width="6.42578125" hidden="1" customWidth="1"/>
    <col min="38" max="38" width="5.85546875" hidden="1" customWidth="1"/>
    <col min="39" max="39" width="6.7109375" customWidth="1"/>
    <col min="40" max="40" width="5.85546875" style="11" customWidth="1"/>
    <col min="41" max="41" width="1.28515625" customWidth="1"/>
    <col min="42" max="42" width="7.28515625" hidden="1" customWidth="1"/>
    <col min="43" max="43" width="6" hidden="1" customWidth="1"/>
    <col min="44" max="44" width="7.85546875" customWidth="1"/>
    <col min="45" max="45" width="7" style="11" customWidth="1"/>
    <col min="46" max="46" width="1.28515625" customWidth="1"/>
    <col min="47" max="47" width="6.7109375" hidden="1" customWidth="1"/>
    <col min="48" max="48" width="6" hidden="1" customWidth="1"/>
    <col min="49" max="49" width="7.28515625" customWidth="1"/>
    <col min="50" max="50" width="12" bestFit="1" customWidth="1"/>
    <col min="51" max="51" width="1.5703125" style="11" customWidth="1"/>
    <col min="52" max="53" width="7" hidden="1" customWidth="1"/>
    <col min="54" max="54" width="12" bestFit="1" customWidth="1"/>
    <col min="56" max="56" width="9.85546875" style="11" customWidth="1"/>
    <col min="57" max="57" width="9.28515625" customWidth="1"/>
  </cols>
  <sheetData>
    <row r="1" spans="1:59" s="25" customFormat="1" ht="21" x14ac:dyDescent="0.35">
      <c r="A1" s="38" t="s">
        <v>0</v>
      </c>
      <c r="E1" s="34"/>
      <c r="K1" s="11"/>
      <c r="O1" s="26"/>
      <c r="AY1" s="11"/>
      <c r="BD1" s="11"/>
    </row>
    <row r="2" spans="1:59" s="25" customFormat="1" x14ac:dyDescent="0.25">
      <c r="A2" s="108" t="s">
        <v>1</v>
      </c>
      <c r="B2" s="108"/>
      <c r="C2" s="108"/>
      <c r="D2" s="24"/>
      <c r="E2" s="34"/>
      <c r="K2" s="11"/>
      <c r="O2" s="26">
        <v>5.0000000000000001E-3</v>
      </c>
      <c r="T2" s="25">
        <v>2.1000000000000001E-2</v>
      </c>
      <c r="Y2" s="25">
        <v>8.3000000000000004E-2</v>
      </c>
      <c r="AD2" s="25">
        <v>0.17199999999999999</v>
      </c>
      <c r="AI2" s="25">
        <v>0.22500000000000001</v>
      </c>
      <c r="AN2" s="25">
        <v>0.11</v>
      </c>
      <c r="AS2" s="25">
        <v>0.13600000000000001</v>
      </c>
      <c r="AX2" s="25">
        <v>0.14099999999999999</v>
      </c>
      <c r="AY2" s="11"/>
      <c r="BC2" s="25">
        <v>0.107</v>
      </c>
      <c r="BD2" s="11"/>
    </row>
    <row r="3" spans="1:59" ht="45.75" customHeight="1" x14ac:dyDescent="0.4">
      <c r="A3" s="24" t="s">
        <v>2</v>
      </c>
      <c r="B3" s="3" t="s">
        <v>3</v>
      </c>
      <c r="C3" s="24" t="s">
        <v>4</v>
      </c>
      <c r="D3" s="9" t="s">
        <v>14</v>
      </c>
      <c r="E3" s="6" t="s">
        <v>9</v>
      </c>
      <c r="F3" s="44" t="s">
        <v>24</v>
      </c>
      <c r="G3" s="16" t="s">
        <v>49</v>
      </c>
      <c r="H3" s="6" t="s">
        <v>16</v>
      </c>
      <c r="I3" s="6" t="s">
        <v>15</v>
      </c>
      <c r="J3" s="6" t="s">
        <v>17</v>
      </c>
      <c r="L3" s="6" t="s">
        <v>22</v>
      </c>
      <c r="M3" s="14" t="s">
        <v>23</v>
      </c>
      <c r="N3" s="8" t="s">
        <v>25</v>
      </c>
      <c r="O3" s="36" t="s">
        <v>86</v>
      </c>
      <c r="P3" s="17"/>
      <c r="Q3" s="34" t="s">
        <v>22</v>
      </c>
      <c r="R3" s="35" t="s">
        <v>23</v>
      </c>
      <c r="S3" s="36" t="s">
        <v>25</v>
      </c>
      <c r="T3" s="36" t="s">
        <v>86</v>
      </c>
      <c r="U3" s="17"/>
      <c r="V3" s="6" t="s">
        <v>22</v>
      </c>
      <c r="W3" s="14" t="s">
        <v>23</v>
      </c>
      <c r="X3" s="8" t="s">
        <v>25</v>
      </c>
      <c r="Y3" s="36" t="s">
        <v>86</v>
      </c>
      <c r="Z3" s="11"/>
      <c r="AA3" t="s">
        <v>28</v>
      </c>
      <c r="AB3" s="14" t="s">
        <v>23</v>
      </c>
      <c r="AC3" s="8" t="s">
        <v>25</v>
      </c>
      <c r="AD3" s="36" t="s">
        <v>86</v>
      </c>
      <c r="AE3" s="11"/>
      <c r="AF3" t="s">
        <v>28</v>
      </c>
      <c r="AG3" s="14" t="s">
        <v>23</v>
      </c>
      <c r="AH3" s="8" t="s">
        <v>25</v>
      </c>
      <c r="AI3" s="36" t="s">
        <v>86</v>
      </c>
      <c r="AJ3" s="11"/>
      <c r="AK3" s="1" t="s">
        <v>28</v>
      </c>
      <c r="AL3" s="15" t="s">
        <v>29</v>
      </c>
      <c r="AM3" s="16" t="s">
        <v>25</v>
      </c>
      <c r="AN3" s="36" t="s">
        <v>86</v>
      </c>
      <c r="AO3" s="11"/>
      <c r="AP3" s="1" t="s">
        <v>28</v>
      </c>
      <c r="AQ3" s="15" t="s">
        <v>29</v>
      </c>
      <c r="AR3" s="16" t="s">
        <v>25</v>
      </c>
      <c r="AS3" s="36" t="s">
        <v>86</v>
      </c>
      <c r="AT3" s="11"/>
      <c r="AU3" s="1" t="s">
        <v>28</v>
      </c>
      <c r="AV3" s="15" t="s">
        <v>29</v>
      </c>
      <c r="AW3" s="16" t="s">
        <v>25</v>
      </c>
      <c r="AX3" s="36" t="s">
        <v>86</v>
      </c>
      <c r="AZ3" s="1" t="s">
        <v>28</v>
      </c>
      <c r="BA3" s="15" t="s">
        <v>29</v>
      </c>
      <c r="BB3" s="16" t="s">
        <v>25</v>
      </c>
      <c r="BC3" s="36" t="s">
        <v>86</v>
      </c>
      <c r="BE3" t="s">
        <v>88</v>
      </c>
      <c r="BG3" t="s">
        <v>87</v>
      </c>
    </row>
    <row r="4" spans="1:59" x14ac:dyDescent="0.25">
      <c r="A4" s="4">
        <v>1</v>
      </c>
      <c r="B4" s="5">
        <v>10</v>
      </c>
      <c r="C4" s="4"/>
      <c r="D4" s="27">
        <f>(B4*B5)^0.5</f>
        <v>11.220071301021219</v>
      </c>
      <c r="E4" s="6" t="s">
        <v>8</v>
      </c>
      <c r="F4" s="45">
        <f>0.065*1600*9.8*B4/1000000</f>
        <v>1.0192E-2</v>
      </c>
      <c r="G4" s="18">
        <v>4.5999999999999999E-2</v>
      </c>
      <c r="H4" s="10">
        <f t="shared" ref="H4:H11" si="0">1600*9.8*(D4/1000000)^2/(18*0.0014)</f>
        <v>7.8331555555555585E-5</v>
      </c>
      <c r="I4" s="7">
        <f>100*H4</f>
        <v>7.8331555555555578E-3</v>
      </c>
      <c r="J4">
        <v>0.1</v>
      </c>
      <c r="L4">
        <v>0.3</v>
      </c>
      <c r="M4" s="7">
        <f>1050*(0.4*L4/10.3)^2</f>
        <v>0.14252050146102363</v>
      </c>
      <c r="N4" s="52">
        <f>0.1*H4*(1-M4/F4)</f>
        <v>-1.0170228967599678E-4</v>
      </c>
      <c r="O4">
        <f>N4*0.101</f>
        <v>-1.0271931257275675E-5</v>
      </c>
      <c r="P4" s="17"/>
      <c r="Q4" s="26">
        <v>0.25</v>
      </c>
      <c r="R4" s="7">
        <f>1050*(0.4*Q4/10.3)^2</f>
        <v>9.8972570459044187E-2</v>
      </c>
      <c r="S4" s="52">
        <f t="shared" ref="S4:S11" si="1">0.1*H4*(1-R4/F4)</f>
        <v>-6.8233125855244678E-5</v>
      </c>
      <c r="T4" s="26">
        <v>0</v>
      </c>
      <c r="U4" s="17"/>
      <c r="V4">
        <v>0.2</v>
      </c>
      <c r="W4" s="7">
        <f>1050*(0.4*V4/10.3)^2</f>
        <v>6.3342445093788308E-2</v>
      </c>
      <c r="X4" s="52">
        <f t="shared" ref="X4:X11" si="2">0.1*H4*(1-W4/F4)</f>
        <v>-4.0849264547356611E-5</v>
      </c>
      <c r="Y4">
        <v>0</v>
      </c>
      <c r="Z4" s="11"/>
      <c r="AA4">
        <v>0.15</v>
      </c>
      <c r="AB4" s="7">
        <f>1050*(0.4*AA4/10.3)^2</f>
        <v>3.5630125365255907E-2</v>
      </c>
      <c r="AC4" s="52">
        <f t="shared" ref="AC4:AC11" si="3">0.1*H4*(1-AB4/F4)</f>
        <v>-1.9550705752332525E-5</v>
      </c>
      <c r="AD4">
        <v>0</v>
      </c>
      <c r="AE4" s="11"/>
      <c r="AF4">
        <v>0.1</v>
      </c>
      <c r="AG4" s="7">
        <f>1050*(0.4*AF4/10.3)^2</f>
        <v>1.5835611273447077E-2</v>
      </c>
      <c r="AH4">
        <f t="shared" ref="AH4:AH11" si="4">0.1*H4*(1-AG4/F4)</f>
        <v>-4.3374494701724841E-6</v>
      </c>
      <c r="AI4">
        <v>0</v>
      </c>
      <c r="AJ4" s="11"/>
      <c r="AK4">
        <v>7.4999999999999997E-2</v>
      </c>
      <c r="AL4" s="7">
        <f>1050*(0.4*AK4/10.3)^2</f>
        <v>8.9075313413139769E-3</v>
      </c>
      <c r="AM4">
        <f t="shared" ref="AM4:AM11" si="5">0.1*H4*(1-AL4/F4)</f>
        <v>9.8719022858353812E-7</v>
      </c>
      <c r="AN4">
        <f>AM4*0.11</f>
        <v>1.0859092514418919E-7</v>
      </c>
      <c r="AO4" s="11"/>
      <c r="AP4">
        <v>0.05</v>
      </c>
      <c r="AQ4" s="7">
        <f>1050*(0.4*AP4/10.3)^2</f>
        <v>3.9589028183617692E-3</v>
      </c>
      <c r="AR4">
        <f t="shared" ref="AR4:AR11" si="6">0.1*H4*(1-AQ4/F4)</f>
        <v>4.7905042991235488E-6</v>
      </c>
      <c r="AS4">
        <f>AR4*0.136</f>
        <v>6.5150858468080267E-7</v>
      </c>
      <c r="AT4" s="11"/>
      <c r="AU4">
        <v>2.5000000000000001E-2</v>
      </c>
      <c r="AV4" s="7">
        <f>1050*(0.4*AU4/10.3)^2</f>
        <v>9.8972570459044231E-4</v>
      </c>
      <c r="AW4">
        <f t="shared" ref="AW4:AW11" si="7">0.1*H4*(1-AV4/F4)</f>
        <v>7.0724927414475564E-6</v>
      </c>
      <c r="AX4">
        <f>AW4*0.141</f>
        <v>9.9722147654410531E-7</v>
      </c>
      <c r="AZ4">
        <v>1E-3</v>
      </c>
      <c r="BA4" s="7">
        <f>1050*(0.4*AZ4/10.3)^2</f>
        <v>1.5835611273447073E-6</v>
      </c>
      <c r="BB4" s="10">
        <f t="shared" ref="BB4:BB11" si="8">0.1*H4*(1-BA4/F4)</f>
        <v>7.8319384950529861E-6</v>
      </c>
      <c r="BC4" s="10">
        <f>BB4*0.107</f>
        <v>8.3801741897066952E-7</v>
      </c>
      <c r="BE4">
        <f>(T4+Y4+AD4+AI4+AN4+AS4+AX4+BC4)*BG4</f>
        <v>2.9119696907912184E-5</v>
      </c>
      <c r="BG4" s="47">
        <v>11.22</v>
      </c>
    </row>
    <row r="5" spans="1:59" x14ac:dyDescent="0.25">
      <c r="A5" s="4">
        <v>1.1000000000000001</v>
      </c>
      <c r="B5" s="5">
        <v>12.589</v>
      </c>
      <c r="C5" s="5">
        <v>2.589</v>
      </c>
      <c r="D5" s="27">
        <f t="shared" ref="D5:D11" si="9">(B5*B6)^0.5</f>
        <v>14.125263218786403</v>
      </c>
      <c r="E5" s="6" t="s">
        <v>5</v>
      </c>
      <c r="F5" s="45">
        <f t="shared" ref="F5:F11" si="10">0.065*1600*9.8*B5/1000000</f>
        <v>1.28307088E-2</v>
      </c>
      <c r="G5" s="18">
        <v>5.1999999999999998E-2</v>
      </c>
      <c r="H5" s="10">
        <f t="shared" si="0"/>
        <v>1.2414768240000002E-4</v>
      </c>
      <c r="I5" s="7">
        <f t="shared" ref="I5:I11" si="11">100*H5</f>
        <v>1.2414768240000002E-2</v>
      </c>
      <c r="J5">
        <v>0.1</v>
      </c>
      <c r="L5">
        <v>0.3</v>
      </c>
      <c r="M5" s="7">
        <f t="shared" ref="M5:M11" si="12">1050*(0.4*L5/10.3)^2</f>
        <v>0.14252050146102363</v>
      </c>
      <c r="N5" s="52">
        <f t="shared" ref="N5:N11" si="13">0.1*H5*(1-M5/F5)</f>
        <v>-1.2548556311871577E-4</v>
      </c>
      <c r="O5">
        <f>N5*0.101</f>
        <v>-1.2674041874990294E-5</v>
      </c>
      <c r="P5" s="17"/>
      <c r="Q5" s="26">
        <v>0.25</v>
      </c>
      <c r="R5" s="7">
        <f t="shared" ref="R5:R11" si="14">1050*(0.4*Q5/10.3)^2</f>
        <v>9.8972570459044187E-2</v>
      </c>
      <c r="S5" s="52">
        <f t="shared" si="1"/>
        <v>-8.3349350759108164E-5</v>
      </c>
      <c r="T5" s="26">
        <v>0</v>
      </c>
      <c r="U5" s="17"/>
      <c r="V5">
        <v>0.2</v>
      </c>
      <c r="W5" s="7">
        <f t="shared" ref="W5:W11" si="15">1050*(0.4*V5/10.3)^2</f>
        <v>6.3342445093788308E-2</v>
      </c>
      <c r="X5" s="52">
        <f t="shared" si="2"/>
        <v>-4.887426791942925E-5</v>
      </c>
      <c r="Y5">
        <v>0</v>
      </c>
      <c r="Z5" s="11"/>
      <c r="AA5">
        <v>0.15</v>
      </c>
      <c r="AB5" s="7">
        <f t="shared" ref="AB5:AB11" si="16">1050*(0.4*AA5/10.3)^2</f>
        <v>3.5630125365255907E-2</v>
      </c>
      <c r="AC5" s="52">
        <f t="shared" si="3"/>
        <v>-2.2060314599678938E-5</v>
      </c>
      <c r="AD5">
        <v>0</v>
      </c>
      <c r="AE5" s="11"/>
      <c r="AF5">
        <v>0.1</v>
      </c>
      <c r="AG5" s="7">
        <f t="shared" ref="AG5:AG11" si="17">1050*(0.4*AF5/10.3)^2</f>
        <v>1.5835611273447077E-2</v>
      </c>
      <c r="AH5">
        <f t="shared" si="4"/>
        <v>-2.9074907998573107E-6</v>
      </c>
      <c r="AI5">
        <v>0</v>
      </c>
      <c r="AJ5" s="11"/>
      <c r="AK5">
        <v>7.4999999999999997E-2</v>
      </c>
      <c r="AL5" s="7">
        <f t="shared" ref="AL5:AL11" si="18">1050*(0.4*AK5/10.3)^2</f>
        <v>8.9075313413139769E-3</v>
      </c>
      <c r="AM5">
        <f t="shared" si="5"/>
        <v>3.7959975300802685E-6</v>
      </c>
      <c r="AN5">
        <f t="shared" ref="AN5:AN11" si="19">AM5*0.11</f>
        <v>4.1755972830882954E-7</v>
      </c>
      <c r="AO5" s="11"/>
      <c r="AP5">
        <v>0.05</v>
      </c>
      <c r="AQ5" s="7">
        <f t="shared" ref="AQ5:AQ11" si="20">1050*(0.4*AP5/10.3)^2</f>
        <v>3.9589028183617692E-3</v>
      </c>
      <c r="AR5">
        <f t="shared" si="6"/>
        <v>8.5842034800356752E-6</v>
      </c>
      <c r="AS5">
        <f t="shared" ref="AS5:AS11" si="21">AR5*0.136</f>
        <v>1.1674516732848519E-6</v>
      </c>
      <c r="AT5" s="11"/>
      <c r="AU5">
        <v>2.5000000000000001E-2</v>
      </c>
      <c r="AV5" s="7">
        <f t="shared" ref="AV5:AV11" si="22">1050*(0.4*AU5/10.3)^2</f>
        <v>9.8972570459044231E-4</v>
      </c>
      <c r="AW5">
        <f t="shared" si="7"/>
        <v>1.1457127050008921E-5</v>
      </c>
      <c r="AX5">
        <f t="shared" ref="AX5:AX11" si="23">AW5*0.141</f>
        <v>1.6154549140512577E-6</v>
      </c>
      <c r="AZ5">
        <v>1E-3</v>
      </c>
      <c r="BA5" s="7">
        <f t="shared" ref="BA5:BA11" si="24">1050*(0.4*AZ5/10.3)^2</f>
        <v>1.5835611273447073E-6</v>
      </c>
      <c r="BB5" s="10">
        <f t="shared" si="8"/>
        <v>1.2413236014096018E-5</v>
      </c>
      <c r="BC5" s="10">
        <f t="shared" ref="BC5:BC11" si="25">BB5*0.107</f>
        <v>1.3282162535082738E-6</v>
      </c>
      <c r="BE5">
        <f t="shared" ref="BE5:BE11" si="26">(T5+Y5+AD5+AI5+AN5+AS5+AX5+BC5)*BG5</f>
        <v>6.3990284702134903E-5</v>
      </c>
      <c r="BG5" s="47">
        <v>14.13</v>
      </c>
    </row>
    <row r="6" spans="1:59" x14ac:dyDescent="0.25">
      <c r="A6" s="4">
        <v>1.2</v>
      </c>
      <c r="B6" s="5">
        <v>15.849</v>
      </c>
      <c r="C6" s="5">
        <v>3.26</v>
      </c>
      <c r="D6" s="27">
        <f t="shared" si="9"/>
        <v>17.783000224933925</v>
      </c>
      <c r="E6" s="6" t="s">
        <v>6</v>
      </c>
      <c r="F6" s="45">
        <f t="shared" si="10"/>
        <v>1.6153300799999999E-2</v>
      </c>
      <c r="G6" s="18">
        <v>5.8999999999999997E-2</v>
      </c>
      <c r="H6" s="10">
        <f t="shared" si="0"/>
        <v>1.9676850480000003E-4</v>
      </c>
      <c r="I6" s="7">
        <f t="shared" si="11"/>
        <v>1.9676850480000004E-2</v>
      </c>
      <c r="J6">
        <v>0.1</v>
      </c>
      <c r="L6">
        <v>0.3</v>
      </c>
      <c r="M6" s="7">
        <f t="shared" si="12"/>
        <v>0.14252050146102363</v>
      </c>
      <c r="N6" s="52">
        <f t="shared" si="13"/>
        <v>-1.5393191421180739E-4</v>
      </c>
      <c r="O6">
        <f t="shared" ref="O6:O11" si="27">N6*0.101</f>
        <v>-1.5547123335392547E-5</v>
      </c>
      <c r="P6" s="17"/>
      <c r="Q6" s="26">
        <v>0.25</v>
      </c>
      <c r="R6" s="7">
        <f t="shared" si="14"/>
        <v>9.8972570459044187E-2</v>
      </c>
      <c r="S6" s="52">
        <f t="shared" si="1"/>
        <v>-1.0088479166708847E-4</v>
      </c>
      <c r="T6" s="26">
        <v>0</v>
      </c>
      <c r="U6" s="17"/>
      <c r="V6">
        <v>0.2</v>
      </c>
      <c r="W6" s="7">
        <f t="shared" si="15"/>
        <v>6.3342445093788308E-2</v>
      </c>
      <c r="X6" s="52">
        <f t="shared" si="2"/>
        <v>-5.748260049413665E-5</v>
      </c>
      <c r="Y6">
        <v>0</v>
      </c>
      <c r="Z6" s="11"/>
      <c r="AA6">
        <v>0.15</v>
      </c>
      <c r="AB6" s="7">
        <f t="shared" si="16"/>
        <v>3.5630125365255907E-2</v>
      </c>
      <c r="AC6" s="52">
        <f t="shared" si="3"/>
        <v>-2.3725340692951844E-5</v>
      </c>
      <c r="AD6">
        <v>0</v>
      </c>
      <c r="AE6" s="11"/>
      <c r="AF6">
        <v>0.1</v>
      </c>
      <c r="AG6" s="7">
        <f t="shared" si="17"/>
        <v>1.5835611273447077E-2</v>
      </c>
      <c r="AH6">
        <f t="shared" si="4"/>
        <v>3.8698773646583905E-7</v>
      </c>
      <c r="AI6">
        <f>AH6*0.225</f>
        <v>8.7072240704813784E-8</v>
      </c>
      <c r="AJ6" s="11"/>
      <c r="AK6">
        <v>7.4999999999999997E-2</v>
      </c>
      <c r="AL6" s="7">
        <f t="shared" si="18"/>
        <v>8.9075313413139769E-3</v>
      </c>
      <c r="AM6">
        <f t="shared" si="5"/>
        <v>8.8263026867620411E-6</v>
      </c>
      <c r="AN6">
        <f t="shared" si="19"/>
        <v>9.7089329554382461E-7</v>
      </c>
      <c r="AO6" s="11"/>
      <c r="AP6">
        <v>0.05</v>
      </c>
      <c r="AQ6" s="7">
        <f t="shared" si="20"/>
        <v>3.9589028183617692E-3</v>
      </c>
      <c r="AR6">
        <f t="shared" si="6"/>
        <v>1.4854384794116462E-5</v>
      </c>
      <c r="AS6">
        <f t="shared" si="21"/>
        <v>2.020196331999839E-6</v>
      </c>
      <c r="AT6" s="11"/>
      <c r="AU6">
        <v>2.5000000000000001E-2</v>
      </c>
      <c r="AV6" s="7">
        <f t="shared" si="22"/>
        <v>9.8972570459044231E-4</v>
      </c>
      <c r="AW6">
        <f t="shared" si="7"/>
        <v>1.8471234058529116E-5</v>
      </c>
      <c r="AX6">
        <f t="shared" si="23"/>
        <v>2.6044440022526053E-6</v>
      </c>
      <c r="AZ6">
        <v>1E-3</v>
      </c>
      <c r="BA6" s="7">
        <f t="shared" si="24"/>
        <v>1.5835611273447073E-6</v>
      </c>
      <c r="BB6" s="10">
        <f t="shared" si="8"/>
        <v>1.967492149372565E-5</v>
      </c>
      <c r="BC6" s="10">
        <f t="shared" si="25"/>
        <v>2.1052165998286447E-6</v>
      </c>
      <c r="BE6">
        <f t="shared" si="26"/>
        <v>1.3846748352246258E-4</v>
      </c>
      <c r="BG6" s="47">
        <v>17.78</v>
      </c>
    </row>
    <row r="7" spans="1:59" x14ac:dyDescent="0.25">
      <c r="A7" s="4">
        <v>1.3</v>
      </c>
      <c r="B7" s="5">
        <v>19.952999999999999</v>
      </c>
      <c r="C7" s="5">
        <v>4.1040000000000001</v>
      </c>
      <c r="D7" s="27">
        <f t="shared" si="9"/>
        <v>22.387483266325404</v>
      </c>
      <c r="E7" s="6" t="s">
        <v>7</v>
      </c>
      <c r="F7" s="45">
        <f t="shared" si="10"/>
        <v>2.0336097600000002E-2</v>
      </c>
      <c r="G7" s="18">
        <v>6.6000000000000003E-2</v>
      </c>
      <c r="H7" s="10">
        <f t="shared" si="0"/>
        <v>3.118574088E-4</v>
      </c>
      <c r="I7" s="7">
        <f t="shared" si="11"/>
        <v>3.118574088E-2</v>
      </c>
      <c r="J7">
        <v>0.1</v>
      </c>
      <c r="L7">
        <v>0.3</v>
      </c>
      <c r="M7" s="7">
        <f t="shared" si="12"/>
        <v>0.14252050146102363</v>
      </c>
      <c r="N7" s="52">
        <f t="shared" si="13"/>
        <v>-1.8737179734951482E-4</v>
      </c>
      <c r="O7">
        <f t="shared" si="27"/>
        <v>-1.8924551532300997E-5</v>
      </c>
      <c r="P7" s="17"/>
      <c r="Q7" s="26">
        <v>0.25</v>
      </c>
      <c r="R7" s="7">
        <f t="shared" si="14"/>
        <v>9.8972570459044187E-2</v>
      </c>
      <c r="S7" s="52">
        <f t="shared" si="1"/>
        <v>-1.2059032733494082E-4</v>
      </c>
      <c r="T7" s="26">
        <v>0</v>
      </c>
      <c r="U7" s="17"/>
      <c r="V7">
        <v>0.2</v>
      </c>
      <c r="W7" s="7">
        <f t="shared" si="15"/>
        <v>6.3342445093788308E-2</v>
      </c>
      <c r="X7" s="52">
        <f t="shared" si="2"/>
        <v>-6.5950942777562185E-5</v>
      </c>
      <c r="Y7">
        <v>0</v>
      </c>
      <c r="Z7" s="11"/>
      <c r="AA7">
        <v>0.15</v>
      </c>
      <c r="AB7" s="7">
        <f t="shared" si="16"/>
        <v>3.5630125365255907E-2</v>
      </c>
      <c r="AC7" s="52">
        <f t="shared" si="3"/>
        <v>-2.3453643677378702E-5</v>
      </c>
      <c r="AD7">
        <v>0</v>
      </c>
      <c r="AE7" s="11"/>
      <c r="AF7">
        <v>0.1</v>
      </c>
      <c r="AG7" s="7">
        <f t="shared" si="17"/>
        <v>1.5835611273447077E-2</v>
      </c>
      <c r="AH7">
        <f t="shared" si="4"/>
        <v>6.9015699656094575E-6</v>
      </c>
      <c r="AI7">
        <f t="shared" ref="AI7:AI11" si="28">AH7*0.225</f>
        <v>1.5528532422621279E-6</v>
      </c>
      <c r="AJ7" s="11"/>
      <c r="AK7">
        <v>7.4999999999999997E-2</v>
      </c>
      <c r="AL7" s="7">
        <f t="shared" si="18"/>
        <v>8.9075313413139769E-3</v>
      </c>
      <c r="AM7">
        <f t="shared" si="5"/>
        <v>1.7525894740655324E-5</v>
      </c>
      <c r="AN7">
        <f t="shared" si="19"/>
        <v>1.9278484214720855E-6</v>
      </c>
      <c r="AO7" s="11"/>
      <c r="AP7">
        <v>0.05</v>
      </c>
      <c r="AQ7" s="7">
        <f t="shared" si="20"/>
        <v>3.9589028183617692E-3</v>
      </c>
      <c r="AR7">
        <f t="shared" si="6"/>
        <v>2.5114698151402365E-5</v>
      </c>
      <c r="AS7">
        <f t="shared" si="21"/>
        <v>3.415598948590722E-6</v>
      </c>
      <c r="AT7" s="11"/>
      <c r="AU7">
        <v>2.5000000000000001E-2</v>
      </c>
      <c r="AV7" s="7">
        <f t="shared" si="22"/>
        <v>9.8972570459044231E-4</v>
      </c>
      <c r="AW7">
        <f t="shared" si="7"/>
        <v>2.9667980197850593E-5</v>
      </c>
      <c r="AX7">
        <f t="shared" si="23"/>
        <v>4.1831852078969328E-6</v>
      </c>
      <c r="AZ7">
        <v>1E-3</v>
      </c>
      <c r="BA7" s="7">
        <f t="shared" si="24"/>
        <v>1.5835611273447073E-6</v>
      </c>
      <c r="BB7" s="10">
        <f t="shared" si="8"/>
        <v>3.1183312462908564E-5</v>
      </c>
      <c r="BC7" s="10">
        <f t="shared" si="25"/>
        <v>3.3366144335312164E-6</v>
      </c>
      <c r="BE7">
        <f t="shared" si="26"/>
        <v>3.2277648468153155E-4</v>
      </c>
      <c r="BG7" s="47">
        <v>22.39</v>
      </c>
    </row>
    <row r="8" spans="1:59" x14ac:dyDescent="0.25">
      <c r="A8" s="4">
        <v>1.4</v>
      </c>
      <c r="B8" s="5">
        <v>25.119</v>
      </c>
      <c r="C8" s="5">
        <v>5.1660000000000004</v>
      </c>
      <c r="D8" s="27">
        <f t="shared" si="9"/>
        <v>28.184004985097488</v>
      </c>
      <c r="E8" s="6" t="s">
        <v>10</v>
      </c>
      <c r="F8" s="45">
        <f t="shared" si="10"/>
        <v>2.5601284800000002E-2</v>
      </c>
      <c r="G8" s="18">
        <v>7.4999999999999997E-2</v>
      </c>
      <c r="H8" s="10">
        <f t="shared" si="0"/>
        <v>4.9425484080000011E-4</v>
      </c>
      <c r="I8" s="7">
        <f t="shared" si="11"/>
        <v>4.9425484080000012E-2</v>
      </c>
      <c r="J8">
        <v>0.1</v>
      </c>
      <c r="L8">
        <v>0.3</v>
      </c>
      <c r="M8" s="7">
        <f t="shared" si="12"/>
        <v>0.14252050146102363</v>
      </c>
      <c r="N8" s="52">
        <f t="shared" si="13"/>
        <v>-2.2572261223880041E-4</v>
      </c>
      <c r="O8">
        <f t="shared" si="27"/>
        <v>-2.2797983836118844E-5</v>
      </c>
      <c r="P8" s="17"/>
      <c r="Q8" s="26">
        <v>0.25</v>
      </c>
      <c r="R8" s="7">
        <f t="shared" si="14"/>
        <v>9.8972570459044187E-2</v>
      </c>
      <c r="S8" s="52">
        <f t="shared" si="1"/>
        <v>-1.4164958280805582E-4</v>
      </c>
      <c r="T8" s="26">
        <v>0</v>
      </c>
      <c r="U8" s="17"/>
      <c r="V8">
        <v>0.2</v>
      </c>
      <c r="W8" s="7">
        <f t="shared" si="15"/>
        <v>6.3342445093788308E-2</v>
      </c>
      <c r="X8" s="52">
        <f t="shared" si="2"/>
        <v>-7.2862558728355772E-5</v>
      </c>
      <c r="Y8">
        <v>0</v>
      </c>
      <c r="Z8" s="11"/>
      <c r="AA8">
        <v>0.15</v>
      </c>
      <c r="AB8" s="7">
        <f t="shared" si="16"/>
        <v>3.5630125365255907E-2</v>
      </c>
      <c r="AC8" s="52">
        <f t="shared" si="3"/>
        <v>-1.9361539999700096E-5</v>
      </c>
      <c r="AD8">
        <v>0</v>
      </c>
      <c r="AE8" s="11"/>
      <c r="AF8">
        <v>0.1</v>
      </c>
      <c r="AG8" s="7">
        <f t="shared" si="17"/>
        <v>1.5835611273447077E-2</v>
      </c>
      <c r="AH8">
        <f t="shared" si="4"/>
        <v>1.8853473377911066E-5</v>
      </c>
      <c r="AI8">
        <f t="shared" si="28"/>
        <v>4.2420315100299896E-6</v>
      </c>
      <c r="AJ8" s="11"/>
      <c r="AK8">
        <v>7.4999999999999997E-2</v>
      </c>
      <c r="AL8" s="7">
        <f t="shared" si="18"/>
        <v>8.9075313413139769E-3</v>
      </c>
      <c r="AM8">
        <f t="shared" si="5"/>
        <v>3.2228728060074987E-5</v>
      </c>
      <c r="AN8">
        <f t="shared" si="19"/>
        <v>3.5451600866082487E-6</v>
      </c>
      <c r="AO8" s="11"/>
      <c r="AP8">
        <v>0.05</v>
      </c>
      <c r="AQ8" s="7">
        <f t="shared" si="20"/>
        <v>3.9589028183617692E-3</v>
      </c>
      <c r="AR8">
        <f t="shared" si="6"/>
        <v>4.1782481404477772E-5</v>
      </c>
      <c r="AS8">
        <f t="shared" si="21"/>
        <v>5.6824174710089772E-6</v>
      </c>
      <c r="AT8" s="11"/>
      <c r="AU8">
        <v>2.5000000000000001E-2</v>
      </c>
      <c r="AV8" s="7">
        <f t="shared" si="22"/>
        <v>9.8972570459044231E-4</v>
      </c>
      <c r="AW8">
        <f t="shared" si="7"/>
        <v>4.7514733411119446E-5</v>
      </c>
      <c r="AX8">
        <f t="shared" si="23"/>
        <v>6.6995774109678412E-6</v>
      </c>
      <c r="AZ8">
        <v>1E-3</v>
      </c>
      <c r="BA8" s="7">
        <f t="shared" si="24"/>
        <v>1.5835611273447073E-6</v>
      </c>
      <c r="BB8" s="10">
        <f t="shared" si="8"/>
        <v>4.9422426878929803E-5</v>
      </c>
      <c r="BC8" s="10">
        <f t="shared" si="25"/>
        <v>5.2881996760454888E-6</v>
      </c>
      <c r="BE8">
        <f t="shared" si="26"/>
        <v>7.1738914183833418E-4</v>
      </c>
      <c r="BG8" s="47">
        <v>28.18</v>
      </c>
    </row>
    <row r="9" spans="1:59" x14ac:dyDescent="0.25">
      <c r="A9" s="4">
        <v>1.5</v>
      </c>
      <c r="B9" s="5">
        <v>31.623000000000001</v>
      </c>
      <c r="C9" s="5">
        <v>6.5039999999999996</v>
      </c>
      <c r="D9" s="27">
        <f t="shared" si="9"/>
        <v>35.481590339216758</v>
      </c>
      <c r="E9" s="6" t="s">
        <v>11</v>
      </c>
      <c r="F9" s="45">
        <f t="shared" si="10"/>
        <v>3.2230161600000001E-2</v>
      </c>
      <c r="G9" s="18">
        <v>8.5000000000000006E-2</v>
      </c>
      <c r="H9" s="10">
        <f t="shared" si="0"/>
        <v>7.8334246853333357E-4</v>
      </c>
      <c r="I9" s="7">
        <f t="shared" si="11"/>
        <v>7.8334246853333359E-2</v>
      </c>
      <c r="J9">
        <v>0.1</v>
      </c>
      <c r="L9">
        <v>0.3</v>
      </c>
      <c r="M9" s="7">
        <f t="shared" si="12"/>
        <v>0.14252050146102363</v>
      </c>
      <c r="N9" s="52">
        <f t="shared" si="13"/>
        <v>-2.6805669842534877E-4</v>
      </c>
      <c r="O9">
        <f t="shared" si="27"/>
        <v>-2.7073726540960227E-5</v>
      </c>
      <c r="P9" s="17"/>
      <c r="Q9" s="26">
        <v>0.25</v>
      </c>
      <c r="R9" s="7">
        <f t="shared" si="14"/>
        <v>9.8972570459044187E-2</v>
      </c>
      <c r="S9" s="52">
        <f t="shared" si="1"/>
        <v>-1.6221502070130699E-4</v>
      </c>
      <c r="T9" s="26">
        <v>0</v>
      </c>
      <c r="U9" s="17"/>
      <c r="V9">
        <v>0.2</v>
      </c>
      <c r="W9" s="7">
        <f t="shared" si="15"/>
        <v>6.3342445093788308E-2</v>
      </c>
      <c r="X9" s="52">
        <f t="shared" si="2"/>
        <v>-7.5617284381636544E-5</v>
      </c>
      <c r="Y9">
        <v>0</v>
      </c>
      <c r="Z9" s="11"/>
      <c r="AA9">
        <v>0.15</v>
      </c>
      <c r="AB9" s="7">
        <f t="shared" si="16"/>
        <v>3.5630125365255907E-2</v>
      </c>
      <c r="AC9" s="52">
        <f t="shared" si="3"/>
        <v>-8.2634894663371719E-6</v>
      </c>
      <c r="AD9">
        <v>0</v>
      </c>
      <c r="AE9" s="11"/>
      <c r="AF9">
        <v>0.1</v>
      </c>
      <c r="AG9" s="7">
        <f t="shared" si="17"/>
        <v>1.5835611273447077E-2</v>
      </c>
      <c r="AH9">
        <f t="shared" si="4"/>
        <v>3.9846364044590884E-5</v>
      </c>
      <c r="AI9">
        <f t="shared" si="28"/>
        <v>8.9654319100329492E-6</v>
      </c>
      <c r="AJ9" s="11"/>
      <c r="AK9">
        <v>7.4999999999999997E-2</v>
      </c>
      <c r="AL9" s="7">
        <f t="shared" si="18"/>
        <v>8.9075313413139769E-3</v>
      </c>
      <c r="AM9">
        <f t="shared" si="5"/>
        <v>5.6684812773415724E-5</v>
      </c>
      <c r="AN9">
        <f t="shared" si="19"/>
        <v>6.2353294050757299E-6</v>
      </c>
      <c r="AO9" s="11"/>
      <c r="AP9">
        <v>0.05</v>
      </c>
      <c r="AQ9" s="7">
        <f t="shared" si="20"/>
        <v>3.9589028183617692E-3</v>
      </c>
      <c r="AR9">
        <f t="shared" si="6"/>
        <v>6.8712276151147741E-5</v>
      </c>
      <c r="AS9">
        <f t="shared" si="21"/>
        <v>9.3448695565560943E-6</v>
      </c>
      <c r="AT9" s="11"/>
      <c r="AU9">
        <v>2.5000000000000001E-2</v>
      </c>
      <c r="AV9" s="7">
        <f t="shared" si="22"/>
        <v>9.8972570459044231E-4</v>
      </c>
      <c r="AW9">
        <f t="shared" si="7"/>
        <v>7.5928754177786948E-5</v>
      </c>
      <c r="AX9">
        <f t="shared" si="23"/>
        <v>1.0705954339067959E-5</v>
      </c>
      <c r="AZ9">
        <v>1E-3</v>
      </c>
      <c r="BA9" s="7">
        <f t="shared" si="24"/>
        <v>1.5835611273447073E-6</v>
      </c>
      <c r="BB9" s="10">
        <f t="shared" si="8"/>
        <v>7.8330398065052495E-5</v>
      </c>
      <c r="BC9" s="10">
        <f t="shared" si="25"/>
        <v>8.3813525929606166E-6</v>
      </c>
      <c r="BE9">
        <f t="shared" si="26"/>
        <v>1.5480966332750399E-3</v>
      </c>
      <c r="BG9" s="47">
        <v>35.479999999999997</v>
      </c>
    </row>
    <row r="10" spans="1:59" x14ac:dyDescent="0.25">
      <c r="A10" s="4">
        <v>1.6</v>
      </c>
      <c r="B10" s="5">
        <v>39.811</v>
      </c>
      <c r="C10" s="5">
        <v>8.1880000000000006</v>
      </c>
      <c r="D10" s="27">
        <f t="shared" si="9"/>
        <v>44.668641226256256</v>
      </c>
      <c r="E10" s="6" t="s">
        <v>12</v>
      </c>
      <c r="F10" s="45">
        <f t="shared" si="10"/>
        <v>4.0575371200000002E-2</v>
      </c>
      <c r="G10" s="18">
        <v>9.7000000000000003E-2</v>
      </c>
      <c r="H10" s="10">
        <f t="shared" si="0"/>
        <v>1.2415122278222224E-3</v>
      </c>
      <c r="I10" s="7">
        <f t="shared" si="11"/>
        <v>0.12415122278222224</v>
      </c>
      <c r="J10">
        <v>0.1</v>
      </c>
      <c r="L10">
        <v>0.3</v>
      </c>
      <c r="M10" s="7">
        <f t="shared" si="12"/>
        <v>0.14252050146102363</v>
      </c>
      <c r="N10" s="52">
        <f t="shared" si="13"/>
        <v>-3.1192844832431284E-4</v>
      </c>
      <c r="O10">
        <f t="shared" si="27"/>
        <v>-3.1504773280755599E-5</v>
      </c>
      <c r="P10" s="17"/>
      <c r="Q10" s="26">
        <v>0.25</v>
      </c>
      <c r="R10" s="7">
        <f t="shared" si="14"/>
        <v>9.8972570459044187E-2</v>
      </c>
      <c r="S10" s="52">
        <f t="shared" si="1"/>
        <v>-1.7868188215287156E-4</v>
      </c>
      <c r="T10" s="26">
        <v>0</v>
      </c>
      <c r="U10" s="17"/>
      <c r="V10">
        <v>0.2</v>
      </c>
      <c r="W10" s="7">
        <f t="shared" si="15"/>
        <v>6.3342445093788308E-2</v>
      </c>
      <c r="X10" s="52">
        <f t="shared" si="2"/>
        <v>-6.9661964376237879E-5</v>
      </c>
      <c r="Y10">
        <v>0</v>
      </c>
      <c r="Z10" s="11"/>
      <c r="AA10">
        <v>0.15</v>
      </c>
      <c r="AB10" s="7">
        <f t="shared" si="16"/>
        <v>3.5630125365255907E-2</v>
      </c>
      <c r="AC10">
        <f t="shared" si="3"/>
        <v>1.5131305005588478E-5</v>
      </c>
      <c r="AD10">
        <f>AC10*0.172</f>
        <v>2.6025844609612179E-6</v>
      </c>
      <c r="AE10" s="11"/>
      <c r="AF10">
        <v>0.1</v>
      </c>
      <c r="AG10" s="7">
        <f t="shared" si="17"/>
        <v>1.5835611273447077E-2</v>
      </c>
      <c r="AH10">
        <f t="shared" si="4"/>
        <v>7.5697925992607222E-5</v>
      </c>
      <c r="AI10">
        <f t="shared" si="28"/>
        <v>1.7032033348336627E-5</v>
      </c>
      <c r="AJ10" s="11"/>
      <c r="AK10">
        <v>7.4999999999999997E-2</v>
      </c>
      <c r="AL10" s="7">
        <f t="shared" si="18"/>
        <v>8.9075313413139769E-3</v>
      </c>
      <c r="AM10">
        <f t="shared" si="5"/>
        <v>9.6896243338063799E-5</v>
      </c>
      <c r="AN10">
        <f t="shared" si="19"/>
        <v>1.0658586767187017E-5</v>
      </c>
      <c r="AO10" s="11"/>
      <c r="AP10">
        <v>0.05</v>
      </c>
      <c r="AQ10" s="7">
        <f t="shared" si="20"/>
        <v>3.9589028183617692E-3</v>
      </c>
      <c r="AR10">
        <f t="shared" si="6"/>
        <v>1.1203789858481849E-4</v>
      </c>
      <c r="AS10">
        <f t="shared" si="21"/>
        <v>1.5237154207535316E-5</v>
      </c>
      <c r="AT10" s="11"/>
      <c r="AU10">
        <v>2.5000000000000001E-2</v>
      </c>
      <c r="AV10" s="7">
        <f t="shared" si="22"/>
        <v>9.8972570459044231E-4</v>
      </c>
      <c r="AW10">
        <f t="shared" si="7"/>
        <v>1.2112289173287131E-4</v>
      </c>
      <c r="AX10">
        <f t="shared" si="23"/>
        <v>1.7078327734334854E-5</v>
      </c>
      <c r="AZ10">
        <v>1E-3</v>
      </c>
      <c r="BA10" s="7">
        <f t="shared" si="24"/>
        <v>1.5835611273447073E-6</v>
      </c>
      <c r="BB10" s="10">
        <f t="shared" si="8"/>
        <v>1.2414637745254329E-4</v>
      </c>
      <c r="BC10" s="10">
        <f t="shared" si="25"/>
        <v>1.3283662387422132E-5</v>
      </c>
      <c r="BE10">
        <f t="shared" si="26"/>
        <v>3.390111225621066E-3</v>
      </c>
      <c r="BG10" s="47">
        <v>44.67</v>
      </c>
    </row>
    <row r="11" spans="1:59" x14ac:dyDescent="0.25">
      <c r="A11" s="4">
        <v>1.7</v>
      </c>
      <c r="B11" s="5">
        <v>50.119</v>
      </c>
      <c r="C11" s="5">
        <v>10.308</v>
      </c>
      <c r="D11" s="27">
        <f t="shared" si="9"/>
        <v>56.234406051811376</v>
      </c>
      <c r="E11" s="6" t="s">
        <v>13</v>
      </c>
      <c r="F11" s="45">
        <f t="shared" si="10"/>
        <v>5.1081284800000001E-2</v>
      </c>
      <c r="G11" s="18">
        <v>0.11</v>
      </c>
      <c r="H11" s="10">
        <f t="shared" si="0"/>
        <v>1.9676585749333333E-3</v>
      </c>
      <c r="I11" s="7">
        <f t="shared" si="11"/>
        <v>0.19676585749333333</v>
      </c>
      <c r="J11">
        <v>0.1</v>
      </c>
      <c r="L11">
        <v>0.3</v>
      </c>
      <c r="M11" s="7">
        <f t="shared" si="12"/>
        <v>0.14252050146102363</v>
      </c>
      <c r="N11" s="52">
        <f t="shared" si="13"/>
        <v>-3.5222520234700532E-4</v>
      </c>
      <c r="O11">
        <f t="shared" si="27"/>
        <v>-3.557474543704754E-5</v>
      </c>
      <c r="P11" s="17"/>
      <c r="Q11" s="26">
        <v>0.25</v>
      </c>
      <c r="R11" s="7">
        <f t="shared" si="14"/>
        <v>9.8972570459044187E-2</v>
      </c>
      <c r="S11" s="52">
        <f t="shared" si="1"/>
        <v>-1.8447793406245737E-4</v>
      </c>
      <c r="T11" s="26">
        <v>0</v>
      </c>
      <c r="U11" s="17"/>
      <c r="V11">
        <v>0.2</v>
      </c>
      <c r="W11" s="7">
        <f t="shared" si="15"/>
        <v>6.3342445093788308E-2</v>
      </c>
      <c r="X11" s="52">
        <f t="shared" si="2"/>
        <v>-4.7230169102372845E-5</v>
      </c>
      <c r="Y11">
        <v>0</v>
      </c>
      <c r="Z11" s="11"/>
      <c r="AA11">
        <v>0.15</v>
      </c>
      <c r="AB11" s="7">
        <f t="shared" si="16"/>
        <v>3.5630125365255907E-2</v>
      </c>
      <c r="AC11">
        <f t="shared" si="3"/>
        <v>5.9518092533248677E-5</v>
      </c>
      <c r="AD11">
        <f>AC11*0.172</f>
        <v>1.0237111915718772E-5</v>
      </c>
      <c r="AE11" s="11"/>
      <c r="AF11">
        <v>0.1</v>
      </c>
      <c r="AG11" s="7">
        <f t="shared" si="17"/>
        <v>1.5835611273447077E-2</v>
      </c>
      <c r="AH11">
        <f t="shared" si="4"/>
        <v>1.3576685084440679E-4</v>
      </c>
      <c r="AI11">
        <f t="shared" si="28"/>
        <v>3.0547541439991526E-5</v>
      </c>
      <c r="AJ11" s="11"/>
      <c r="AK11">
        <v>7.4999999999999997E-2</v>
      </c>
      <c r="AL11" s="7">
        <f t="shared" si="18"/>
        <v>8.9075313413139769E-3</v>
      </c>
      <c r="AM11">
        <f t="shared" si="5"/>
        <v>1.6245391625331217E-4</v>
      </c>
      <c r="AN11">
        <f t="shared" si="19"/>
        <v>1.7869930787864337E-5</v>
      </c>
      <c r="AO11" s="11"/>
      <c r="AP11">
        <v>0.05</v>
      </c>
      <c r="AQ11" s="7">
        <f t="shared" si="20"/>
        <v>3.9589028183617692E-3</v>
      </c>
      <c r="AR11">
        <f t="shared" si="6"/>
        <v>1.815161058311017E-4</v>
      </c>
      <c r="AS11">
        <f t="shared" si="21"/>
        <v>2.4686190393029834E-5</v>
      </c>
      <c r="AT11" s="11"/>
      <c r="AU11">
        <v>2.5000000000000001E-2</v>
      </c>
      <c r="AV11" s="7">
        <f t="shared" si="22"/>
        <v>9.8972570459044231E-4</v>
      </c>
      <c r="AW11">
        <f t="shared" si="7"/>
        <v>1.9295341957777543E-4</v>
      </c>
      <c r="AX11">
        <f t="shared" si="23"/>
        <v>2.7206432160466335E-5</v>
      </c>
      <c r="AZ11">
        <v>1E-3</v>
      </c>
      <c r="BA11" s="7">
        <f t="shared" si="24"/>
        <v>1.5835611273447073E-6</v>
      </c>
      <c r="BB11" s="10">
        <f t="shared" si="8"/>
        <v>1.9675975759266844E-4</v>
      </c>
      <c r="BC11" s="10">
        <f t="shared" si="25"/>
        <v>2.1053294062415524E-5</v>
      </c>
      <c r="BE11">
        <f t="shared" si="26"/>
        <v>7.3998961577059147E-3</v>
      </c>
      <c r="BG11" s="47">
        <v>56.23</v>
      </c>
    </row>
    <row r="12" spans="1:59" x14ac:dyDescent="0.25">
      <c r="A12" s="4">
        <v>1.8</v>
      </c>
      <c r="B12" s="5">
        <v>63.095999999999997</v>
      </c>
      <c r="C12" s="5">
        <v>12.977</v>
      </c>
      <c r="D12" s="5"/>
      <c r="G12" s="18">
        <v>0.124</v>
      </c>
      <c r="I12" s="11" t="s">
        <v>18</v>
      </c>
      <c r="J12" s="11">
        <f>SUM(J4:J11)</f>
        <v>0.79999999999999993</v>
      </c>
      <c r="O12" s="46">
        <v>0</v>
      </c>
      <c r="P12" s="17"/>
      <c r="Q12" s="26"/>
      <c r="R12" s="26"/>
      <c r="S12" s="26"/>
      <c r="T12" s="48">
        <v>0</v>
      </c>
      <c r="U12" s="17"/>
      <c r="Y12" s="46">
        <v>0</v>
      </c>
      <c r="Z12" s="11"/>
      <c r="AD12" s="46">
        <f>SUM(AD10:AD11)</f>
        <v>1.2839696376679989E-5</v>
      </c>
      <c r="AE12" s="11"/>
      <c r="AI12" s="46">
        <f>SUM(AI6:AI11)</f>
        <v>6.2426963691358025E-5</v>
      </c>
      <c r="AJ12" s="11"/>
      <c r="AN12" s="46">
        <f>SUM(AN4:AN11)</f>
        <v>4.1733899417204263E-5</v>
      </c>
      <c r="AO12" s="11"/>
      <c r="AS12" s="46">
        <f>SUM(AS4:AS11)</f>
        <v>6.2205387166686438E-5</v>
      </c>
      <c r="AT12" s="11"/>
      <c r="AX12" s="46">
        <f>SUM(AX4:AX11)</f>
        <v>7.1090597245581887E-5</v>
      </c>
      <c r="BC12" s="46">
        <f>SUM(BC4:BC11)</f>
        <v>5.5614573424682561E-5</v>
      </c>
      <c r="BD12" s="11" t="s">
        <v>89</v>
      </c>
      <c r="BE12" s="53">
        <f>SUM(BE4:BE11)</f>
        <v>1.3609847108254396E-2</v>
      </c>
    </row>
    <row r="13" spans="1:59" x14ac:dyDescent="0.25">
      <c r="F13" t="s">
        <v>52</v>
      </c>
      <c r="G13" t="s">
        <v>56</v>
      </c>
      <c r="M13" t="s">
        <v>58</v>
      </c>
      <c r="O13" s="26"/>
      <c r="P13" s="17"/>
      <c r="Q13" s="26"/>
      <c r="R13" s="26"/>
      <c r="S13" s="26"/>
      <c r="T13" s="26"/>
      <c r="U13" s="17"/>
      <c r="Y13" s="25"/>
      <c r="Z13" s="11"/>
      <c r="AD13" s="25">
        <f>100*AD12/0.0003059</f>
        <v>4.197350891363187</v>
      </c>
      <c r="AI13" s="25">
        <f>100*AI12/0.0003059</f>
        <v>20.40763768923113</v>
      </c>
      <c r="AJ13" s="11"/>
      <c r="AN13" s="25">
        <f>100*AN12/0.0003059</f>
        <v>13.642987714025583</v>
      </c>
      <c r="AO13" s="11"/>
      <c r="AS13" s="25">
        <f>100*AS12/0.0003059</f>
        <v>20.335203388913513</v>
      </c>
      <c r="AT13" s="25"/>
      <c r="AX13" s="25">
        <f>100*AX12/0.0003059</f>
        <v>23.239816033207546</v>
      </c>
      <c r="BB13" t="s">
        <v>92</v>
      </c>
      <c r="BC13" s="25">
        <f>100*BC12/0.0003059</f>
        <v>18.180638582766445</v>
      </c>
      <c r="BD13" s="11" t="s">
        <v>90</v>
      </c>
      <c r="BE13" s="53">
        <f>O12+T12+Y12+AD12+AI12+AN12+AS12+AX12+BC12</f>
        <v>3.0591111732219316E-4</v>
      </c>
      <c r="BF13" s="54">
        <f>BE12/BE13</f>
        <v>44.489547249504398</v>
      </c>
      <c r="BG13" t="s">
        <v>91</v>
      </c>
    </row>
    <row r="14" spans="1:59" x14ac:dyDescent="0.25">
      <c r="H14" t="s">
        <v>15</v>
      </c>
      <c r="I14" s="6" t="s">
        <v>84</v>
      </c>
      <c r="J14" t="s">
        <v>85</v>
      </c>
      <c r="L14" t="s">
        <v>48</v>
      </c>
      <c r="O14"/>
      <c r="P14" s="17"/>
      <c r="Q14" s="26"/>
      <c r="R14" s="26"/>
      <c r="S14" s="26"/>
      <c r="T14" s="26"/>
      <c r="U14" s="17"/>
      <c r="Y14"/>
      <c r="Z14" s="11"/>
      <c r="AD14"/>
      <c r="AE14" s="11"/>
      <c r="AI14"/>
      <c r="AJ14" s="11"/>
      <c r="AN14"/>
      <c r="AO14" s="11"/>
      <c r="AS14"/>
      <c r="AT14" s="11"/>
      <c r="BC14">
        <f>AD13+AI13+AN13+AS13+AX13+BC13</f>
        <v>100.00363429950741</v>
      </c>
    </row>
    <row r="15" spans="1:59" x14ac:dyDescent="0.25">
      <c r="H15" s="42" t="s">
        <v>36</v>
      </c>
      <c r="I15" s="43">
        <v>0.10100000000000001</v>
      </c>
      <c r="J15" s="43">
        <v>5.0000000000000001E-3</v>
      </c>
      <c r="L15" t="s">
        <v>26</v>
      </c>
      <c r="O15"/>
      <c r="P15" s="17"/>
      <c r="Q15" s="26"/>
      <c r="R15" s="26"/>
      <c r="S15" s="26"/>
      <c r="T15" s="26"/>
      <c r="U15" s="17"/>
      <c r="Y15"/>
      <c r="Z15" s="11"/>
      <c r="AD15"/>
      <c r="AE15" s="11"/>
      <c r="AI15"/>
      <c r="AJ15" s="11"/>
      <c r="AN15"/>
      <c r="AO15" s="11"/>
      <c r="AS15"/>
      <c r="AT15" s="11"/>
      <c r="BE15" t="s">
        <v>79</v>
      </c>
    </row>
    <row r="16" spans="1:59" ht="15.75" customHeight="1" x14ac:dyDescent="0.25">
      <c r="A16" s="40" t="s">
        <v>82</v>
      </c>
      <c r="B16" s="41"/>
      <c r="C16" s="41"/>
      <c r="D16" s="41"/>
      <c r="E16" s="40"/>
      <c r="F16" s="41"/>
      <c r="G16" s="41"/>
      <c r="H16" s="42" t="s">
        <v>38</v>
      </c>
      <c r="I16" s="43">
        <v>0.13600000000000001</v>
      </c>
      <c r="J16" s="43">
        <v>2.1000000000000001E-2</v>
      </c>
      <c r="L16" t="s">
        <v>27</v>
      </c>
      <c r="O16"/>
      <c r="P16" s="17"/>
      <c r="Q16" s="26"/>
      <c r="R16" s="26"/>
      <c r="S16" s="26"/>
      <c r="T16" s="26"/>
      <c r="U16" s="17"/>
      <c r="Y16"/>
      <c r="Z16" s="11"/>
      <c r="AD16"/>
      <c r="AE16" s="11"/>
      <c r="AI16"/>
      <c r="AJ16" s="11"/>
      <c r="AN16"/>
      <c r="AO16" s="11"/>
      <c r="AS16"/>
      <c r="AT16" s="11"/>
    </row>
    <row r="17" spans="1:46" x14ac:dyDescent="0.25">
      <c r="A17" s="41"/>
      <c r="B17" s="41" t="s">
        <v>64</v>
      </c>
      <c r="C17" s="41" t="s">
        <v>65</v>
      </c>
      <c r="D17" s="41" t="s">
        <v>66</v>
      </c>
      <c r="E17" s="40" t="s">
        <v>63</v>
      </c>
      <c r="F17" s="41"/>
      <c r="G17" s="41"/>
      <c r="H17" s="42" t="s">
        <v>37</v>
      </c>
      <c r="I17" s="43">
        <v>0.186</v>
      </c>
      <c r="J17" s="43">
        <v>8.3000000000000004E-2</v>
      </c>
      <c r="L17" s="37" t="s">
        <v>59</v>
      </c>
      <c r="M17" s="1" t="s">
        <v>57</v>
      </c>
      <c r="O17"/>
      <c r="P17" s="17"/>
      <c r="Q17" s="37" t="s">
        <v>59</v>
      </c>
      <c r="R17" s="1" t="s">
        <v>57</v>
      </c>
      <c r="S17" s="26"/>
      <c r="T17" s="26"/>
      <c r="U17" s="17"/>
      <c r="V17" s="37" t="s">
        <v>59</v>
      </c>
      <c r="W17" s="1" t="s">
        <v>57</v>
      </c>
      <c r="Y17"/>
      <c r="Z17" s="11"/>
      <c r="AA17" s="37" t="s">
        <v>59</v>
      </c>
      <c r="AB17" s="1" t="s">
        <v>57</v>
      </c>
      <c r="AD17"/>
      <c r="AE17" s="11"/>
      <c r="AF17" s="37" t="s">
        <v>59</v>
      </c>
      <c r="AG17" s="1" t="s">
        <v>57</v>
      </c>
      <c r="AI17"/>
      <c r="AJ17" s="11"/>
      <c r="AK17" s="37" t="s">
        <v>59</v>
      </c>
      <c r="AL17" s="1" t="s">
        <v>57</v>
      </c>
      <c r="AN17"/>
      <c r="AO17" s="11"/>
      <c r="AP17" s="37" t="s">
        <v>59</v>
      </c>
      <c r="AQ17" s="1" t="s">
        <v>57</v>
      </c>
      <c r="AS17"/>
      <c r="AT17" s="11"/>
    </row>
    <row r="18" spans="1:46" x14ac:dyDescent="0.25">
      <c r="A18" s="40" t="s">
        <v>60</v>
      </c>
      <c r="B18" s="41" t="s">
        <v>67</v>
      </c>
      <c r="C18" s="41"/>
      <c r="D18" s="41" t="s">
        <v>70</v>
      </c>
      <c r="E18" s="40"/>
      <c r="F18" s="41" t="s">
        <v>73</v>
      </c>
      <c r="G18" s="40" t="s">
        <v>76</v>
      </c>
      <c r="H18" s="42" t="s">
        <v>39</v>
      </c>
      <c r="I18" s="43">
        <v>0.24</v>
      </c>
      <c r="J18" s="43">
        <v>0.17199999999999999</v>
      </c>
      <c r="L18">
        <v>0.3</v>
      </c>
      <c r="M18">
        <f>0.0015*1050*L18^2</f>
        <v>0.14174999999999999</v>
      </c>
      <c r="O18"/>
      <c r="P18" s="17"/>
      <c r="Q18" s="26">
        <v>0.25</v>
      </c>
      <c r="R18">
        <f>0.0015*1050*Q18^2</f>
        <v>9.8437499999999997E-2</v>
      </c>
      <c r="S18" s="26"/>
      <c r="T18" s="26"/>
      <c r="U18" s="17"/>
      <c r="V18">
        <v>0.2</v>
      </c>
      <c r="W18">
        <f>0.0015*1050*V18^2</f>
        <v>6.3000000000000014E-2</v>
      </c>
      <c r="Y18"/>
      <c r="Z18" s="11"/>
      <c r="AA18">
        <v>0.15</v>
      </c>
      <c r="AB18">
        <f>0.0015*1050*AA18^2</f>
        <v>3.5437499999999997E-2</v>
      </c>
      <c r="AD18"/>
      <c r="AE18" s="11"/>
      <c r="AI18"/>
      <c r="AJ18" s="11"/>
      <c r="AN18"/>
      <c r="AO18" s="11"/>
      <c r="AS18"/>
      <c r="AT18" s="11"/>
    </row>
    <row r="19" spans="1:46" x14ac:dyDescent="0.25">
      <c r="A19" s="40" t="s">
        <v>61</v>
      </c>
      <c r="B19" s="41" t="s">
        <v>68</v>
      </c>
      <c r="C19" s="41"/>
      <c r="D19" s="41" t="s">
        <v>71</v>
      </c>
      <c r="E19" s="40"/>
      <c r="F19" s="41" t="s">
        <v>74</v>
      </c>
      <c r="G19" s="40" t="s">
        <v>77</v>
      </c>
      <c r="H19" s="42" t="s">
        <v>40</v>
      </c>
      <c r="I19" s="43">
        <v>0.23100000000000001</v>
      </c>
      <c r="J19" s="43">
        <v>0.22500000000000001</v>
      </c>
      <c r="O19"/>
      <c r="P19" s="17"/>
      <c r="Q19" s="26"/>
      <c r="R19" s="26"/>
      <c r="S19" s="26"/>
      <c r="T19" s="26"/>
      <c r="U19" s="17"/>
      <c r="Y19"/>
      <c r="Z19" s="11"/>
      <c r="AD19"/>
      <c r="AE19" s="11"/>
      <c r="AI19"/>
      <c r="AJ19" s="11"/>
      <c r="AN19"/>
      <c r="AO19" s="11"/>
      <c r="AS19"/>
      <c r="AT19" s="11"/>
    </row>
    <row r="20" spans="1:46" x14ac:dyDescent="0.25">
      <c r="A20" s="40" t="s">
        <v>62</v>
      </c>
      <c r="B20" s="41" t="s">
        <v>69</v>
      </c>
      <c r="C20" s="41"/>
      <c r="D20" s="41" t="s">
        <v>72</v>
      </c>
      <c r="E20" s="40"/>
      <c r="F20" s="41" t="s">
        <v>75</v>
      </c>
      <c r="G20" s="40" t="s">
        <v>78</v>
      </c>
      <c r="H20" s="42" t="s">
        <v>41</v>
      </c>
      <c r="I20" s="43">
        <v>7.0999999999999994E-2</v>
      </c>
      <c r="J20" s="43">
        <v>0.11</v>
      </c>
      <c r="O20"/>
      <c r="P20" s="17"/>
      <c r="Q20" s="26"/>
      <c r="R20" s="26"/>
      <c r="S20" s="26"/>
      <c r="T20" s="26"/>
      <c r="U20" s="17"/>
      <c r="Y20"/>
      <c r="Z20" s="11"/>
      <c r="AD20"/>
      <c r="AE20" s="11"/>
      <c r="AI20"/>
      <c r="AJ20" s="11"/>
      <c r="AN20"/>
      <c r="AO20" s="11"/>
      <c r="AS20"/>
      <c r="AT20" s="11"/>
    </row>
    <row r="21" spans="1:46" x14ac:dyDescent="0.25">
      <c r="A21" s="40" t="s">
        <v>63</v>
      </c>
      <c r="B21" s="41"/>
      <c r="C21" s="41"/>
      <c r="D21" s="41"/>
      <c r="E21" s="40"/>
      <c r="F21" s="41" t="s">
        <v>79</v>
      </c>
      <c r="G21" s="40" t="s">
        <v>80</v>
      </c>
      <c r="H21" s="42" t="s">
        <v>42</v>
      </c>
      <c r="I21" s="43">
        <v>3.1E-2</v>
      </c>
      <c r="J21" s="43">
        <v>0.13600000000000001</v>
      </c>
      <c r="O21"/>
      <c r="P21" s="17"/>
      <c r="Q21" s="26"/>
      <c r="R21" s="26"/>
      <c r="S21" s="26"/>
      <c r="T21" s="26"/>
      <c r="U21" s="17"/>
      <c r="Y21"/>
      <c r="Z21" s="11"/>
      <c r="AD21"/>
      <c r="AE21" s="11"/>
      <c r="AI21"/>
      <c r="AJ21" s="11"/>
      <c r="AN21"/>
      <c r="AO21" s="11"/>
      <c r="AS21"/>
      <c r="AT21" s="11"/>
    </row>
    <row r="22" spans="1:46" x14ac:dyDescent="0.25">
      <c r="A22" s="41" t="s">
        <v>83</v>
      </c>
      <c r="B22" s="41"/>
      <c r="C22" s="41"/>
      <c r="D22" s="41"/>
      <c r="E22" s="40"/>
      <c r="F22" s="41" t="s">
        <v>81</v>
      </c>
      <c r="G22" s="41"/>
      <c r="H22" s="42" t="s">
        <v>43</v>
      </c>
      <c r="I22" s="43">
        <v>4.0000000000000001E-3</v>
      </c>
      <c r="J22" s="43">
        <v>0.14099999999999999</v>
      </c>
      <c r="O22"/>
      <c r="P22" s="17"/>
      <c r="Q22" s="26"/>
      <c r="R22" s="26"/>
      <c r="S22" s="26"/>
      <c r="T22" s="26"/>
      <c r="U22" s="17"/>
      <c r="Y22"/>
      <c r="Z22" s="11"/>
      <c r="AD22"/>
      <c r="AE22" s="11"/>
      <c r="AI22"/>
      <c r="AJ22" s="11"/>
      <c r="AN22"/>
      <c r="AO22" s="11"/>
      <c r="AS22"/>
      <c r="AT22" s="11"/>
    </row>
    <row r="23" spans="1:46" x14ac:dyDescent="0.25">
      <c r="H23" s="42" t="s">
        <v>44</v>
      </c>
      <c r="I23" s="43">
        <v>0</v>
      </c>
      <c r="J23" s="43">
        <v>0.107</v>
      </c>
      <c r="O23"/>
      <c r="P23" s="17"/>
      <c r="Q23" s="26"/>
      <c r="R23" s="26"/>
      <c r="S23" s="26"/>
      <c r="T23" s="26"/>
      <c r="U23" s="17"/>
      <c r="Y23"/>
      <c r="Z23" s="11"/>
      <c r="AD23"/>
      <c r="AE23" s="11"/>
      <c r="AI23"/>
      <c r="AJ23" s="11"/>
      <c r="AN23"/>
      <c r="AO23" s="11"/>
      <c r="AS23"/>
      <c r="AT23" s="11"/>
    </row>
    <row r="24" spans="1:46" ht="28.5" customHeight="1" x14ac:dyDescent="0.25">
      <c r="O24"/>
      <c r="P24" s="17"/>
      <c r="Q24" s="26"/>
      <c r="R24" s="26"/>
      <c r="S24" s="26"/>
      <c r="T24" s="26"/>
      <c r="U24" s="17"/>
      <c r="Y24"/>
      <c r="Z24" s="11"/>
      <c r="AD24"/>
      <c r="AE24" s="11"/>
      <c r="AI24"/>
      <c r="AJ24" s="11"/>
      <c r="AN24"/>
      <c r="AO24" s="11"/>
      <c r="AS24"/>
      <c r="AT24" s="11"/>
    </row>
    <row r="25" spans="1:46" x14ac:dyDescent="0.25">
      <c r="O25"/>
      <c r="P25" s="17"/>
      <c r="Q25" s="26"/>
      <c r="R25" s="26"/>
      <c r="S25" s="26"/>
      <c r="T25" s="26"/>
      <c r="U25" s="17"/>
      <c r="Y25"/>
      <c r="Z25" s="11"/>
      <c r="AD25"/>
      <c r="AE25" s="11"/>
      <c r="AI25"/>
      <c r="AJ25" s="11"/>
      <c r="AN25"/>
      <c r="AO25" s="11"/>
      <c r="AS25"/>
      <c r="AT25" s="11"/>
    </row>
    <row r="26" spans="1:46" x14ac:dyDescent="0.25">
      <c r="O26"/>
      <c r="P26" s="17"/>
      <c r="Q26" s="26"/>
      <c r="R26" s="26"/>
      <c r="S26" s="26"/>
      <c r="T26" s="26"/>
      <c r="U26" s="17"/>
      <c r="Y26"/>
      <c r="Z26" s="11"/>
      <c r="AD26"/>
      <c r="AE26" s="11"/>
      <c r="AI26"/>
      <c r="AJ26" s="11"/>
      <c r="AN26"/>
      <c r="AO26" s="11"/>
      <c r="AS26"/>
      <c r="AT26" s="11"/>
    </row>
    <row r="27" spans="1:46" x14ac:dyDescent="0.25">
      <c r="O27"/>
      <c r="P27" s="17"/>
      <c r="Q27" s="26"/>
      <c r="R27" s="26"/>
      <c r="S27" s="26"/>
      <c r="T27" s="26"/>
      <c r="U27" s="17"/>
      <c r="Y27"/>
      <c r="Z27" s="11"/>
      <c r="AD27"/>
      <c r="AE27" s="11"/>
      <c r="AI27"/>
      <c r="AJ27" s="11"/>
      <c r="AN27"/>
      <c r="AO27" s="11"/>
      <c r="AS27"/>
      <c r="AT27" s="11"/>
    </row>
    <row r="28" spans="1:46" x14ac:dyDescent="0.25">
      <c r="O28"/>
      <c r="P28" s="17"/>
      <c r="Q28" s="26"/>
      <c r="R28" s="26"/>
      <c r="S28" s="26"/>
      <c r="T28" s="26"/>
      <c r="U28" s="17"/>
      <c r="Y28"/>
      <c r="Z28" s="11"/>
      <c r="AD28"/>
      <c r="AE28" s="11"/>
      <c r="AI28"/>
      <c r="AJ28" s="11"/>
      <c r="AN28"/>
      <c r="AO28" s="11"/>
      <c r="AS28"/>
      <c r="AT28" s="11"/>
    </row>
    <row r="29" spans="1:46" x14ac:dyDescent="0.25">
      <c r="O29"/>
      <c r="P29" s="17"/>
      <c r="Q29" s="26"/>
      <c r="R29" s="26"/>
      <c r="S29" s="26"/>
      <c r="T29" s="26"/>
      <c r="U29" s="17"/>
      <c r="Y29"/>
      <c r="Z29" s="11"/>
      <c r="AD29"/>
      <c r="AE29" s="11"/>
      <c r="AI29"/>
      <c r="AJ29" s="11"/>
      <c r="AN29"/>
      <c r="AO29" s="11"/>
      <c r="AS29"/>
      <c r="AT29" s="11"/>
    </row>
    <row r="30" spans="1:46" x14ac:dyDescent="0.25">
      <c r="O30"/>
      <c r="P30" s="17"/>
      <c r="Q30" s="26"/>
      <c r="R30" s="26"/>
      <c r="S30" s="26"/>
      <c r="T30" s="26"/>
      <c r="U30" s="17"/>
      <c r="Y30"/>
      <c r="Z30" s="11"/>
      <c r="AD30"/>
      <c r="AE30" s="11"/>
      <c r="AI30"/>
      <c r="AJ30" s="11"/>
      <c r="AN30"/>
      <c r="AO30" s="11"/>
      <c r="AS30"/>
      <c r="AT30" s="11"/>
    </row>
    <row r="31" spans="1:46" x14ac:dyDescent="0.25">
      <c r="O31"/>
      <c r="P31" s="17"/>
      <c r="Q31" s="26"/>
      <c r="R31" s="26"/>
      <c r="S31" s="26"/>
      <c r="T31" s="26"/>
      <c r="U31" s="17"/>
      <c r="Y31"/>
      <c r="Z31" s="11"/>
      <c r="AD31"/>
      <c r="AE31" s="11"/>
      <c r="AI31"/>
      <c r="AJ31" s="11"/>
      <c r="AN31"/>
      <c r="AO31" s="11"/>
      <c r="AS31"/>
      <c r="AT31" s="11"/>
    </row>
    <row r="32" spans="1:46" x14ac:dyDescent="0.25">
      <c r="O32"/>
      <c r="P32" s="17"/>
      <c r="Q32" s="26"/>
      <c r="R32" s="26"/>
      <c r="S32" s="26"/>
      <c r="T32" s="26"/>
      <c r="U32" s="17"/>
      <c r="Y32"/>
      <c r="Z32" s="11"/>
      <c r="AD32"/>
      <c r="AE32" s="11"/>
      <c r="AI32"/>
      <c r="AJ32" s="11"/>
      <c r="AN32"/>
      <c r="AO32" s="11"/>
      <c r="AS32"/>
      <c r="AT32" s="11"/>
    </row>
    <row r="33" spans="15:46" x14ac:dyDescent="0.25">
      <c r="O33"/>
      <c r="P33" s="17"/>
      <c r="Q33" s="26"/>
      <c r="R33" s="26"/>
      <c r="S33" s="26"/>
      <c r="T33" s="26"/>
      <c r="U33" s="17"/>
      <c r="Y33"/>
      <c r="Z33" s="11"/>
      <c r="AD33"/>
      <c r="AE33" s="11"/>
      <c r="AI33"/>
      <c r="AJ33" s="11"/>
      <c r="AN33"/>
      <c r="AO33" s="11"/>
      <c r="AS33"/>
      <c r="AT33" s="11"/>
    </row>
    <row r="34" spans="15:46" x14ac:dyDescent="0.25">
      <c r="O34"/>
      <c r="P34" s="17"/>
      <c r="Q34" s="26"/>
      <c r="R34" s="26"/>
      <c r="S34" s="26"/>
      <c r="T34" s="26"/>
      <c r="U34" s="17"/>
      <c r="Y34"/>
      <c r="Z34" s="11"/>
      <c r="AD34"/>
      <c r="AE34" s="11"/>
      <c r="AI34"/>
      <c r="AJ34" s="11"/>
      <c r="AN34"/>
      <c r="AO34" s="11"/>
      <c r="AS34"/>
      <c r="AT34" s="11"/>
    </row>
  </sheetData>
  <mergeCells count="1"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4"/>
  <sheetViews>
    <sheetView workbookViewId="0">
      <selection activeCell="H26" sqref="H26"/>
    </sheetView>
  </sheetViews>
  <sheetFormatPr defaultRowHeight="15" x14ac:dyDescent="0.25"/>
  <cols>
    <col min="1" max="1" width="11.7109375" customWidth="1"/>
    <col min="2" max="2" width="8.7109375" customWidth="1"/>
    <col min="3" max="3" width="8" customWidth="1"/>
    <col min="5" max="5" width="14.140625" style="6" customWidth="1"/>
    <col min="6" max="6" width="10.85546875" customWidth="1"/>
    <col min="7" max="7" width="9" customWidth="1"/>
    <col min="8" max="8" width="9.5703125" customWidth="1"/>
    <col min="10" max="10" width="9.28515625" customWidth="1"/>
    <col min="11" max="11" width="1.42578125" style="11" customWidth="1"/>
    <col min="12" max="12" width="6.85546875" hidden="1" customWidth="1"/>
    <col min="13" max="13" width="9.28515625" hidden="1" customWidth="1"/>
    <col min="14" max="14" width="9" customWidth="1"/>
    <col min="15" max="15" width="8.7109375" style="17" customWidth="1"/>
    <col min="16" max="16" width="1.28515625" customWidth="1"/>
    <col min="17" max="17" width="6.7109375" style="25" hidden="1" customWidth="1"/>
    <col min="18" max="18" width="7.28515625" style="25" hidden="1" customWidth="1"/>
    <col min="19" max="19" width="7.85546875" style="25" customWidth="1"/>
    <col min="20" max="20" width="6.7109375" style="25" customWidth="1"/>
    <col min="21" max="21" width="1.28515625" customWidth="1"/>
    <col min="22" max="22" width="7.7109375" hidden="1" customWidth="1"/>
    <col min="23" max="23" width="5.85546875" hidden="1" customWidth="1"/>
    <col min="24" max="24" width="7.7109375" customWidth="1"/>
    <col min="25" max="25" width="7" style="11" customWidth="1"/>
    <col min="26" max="26" width="1.28515625" customWidth="1"/>
    <col min="27" max="27" width="7.28515625" hidden="1" customWidth="1"/>
    <col min="28" max="28" width="8.42578125" hidden="1" customWidth="1"/>
    <col min="29" max="29" width="12.7109375" bestFit="1" customWidth="1"/>
    <col min="30" max="30" width="8.7109375" style="11" customWidth="1"/>
    <col min="31" max="31" width="1.28515625" customWidth="1"/>
    <col min="32" max="32" width="0" hidden="1" customWidth="1"/>
    <col min="33" max="33" width="6.5703125" hidden="1" customWidth="1"/>
    <col min="34" max="34" width="7.42578125" customWidth="1"/>
    <col min="35" max="35" width="8.28515625" style="11" customWidth="1"/>
    <col min="36" max="36" width="1.28515625" customWidth="1"/>
    <col min="37" max="37" width="6.42578125" hidden="1" customWidth="1"/>
    <col min="38" max="38" width="5.85546875" hidden="1" customWidth="1"/>
    <col min="39" max="39" width="6.7109375" customWidth="1"/>
    <col min="40" max="40" width="5.85546875" style="11" customWidth="1"/>
    <col min="41" max="41" width="1.28515625" customWidth="1"/>
    <col min="42" max="42" width="7.28515625" hidden="1" customWidth="1"/>
    <col min="43" max="43" width="6" hidden="1" customWidth="1"/>
    <col min="44" max="44" width="7.85546875" customWidth="1"/>
    <col min="45" max="45" width="7" style="11" customWidth="1"/>
    <col min="46" max="46" width="1.28515625" customWidth="1"/>
    <col min="47" max="47" width="6.7109375" hidden="1" customWidth="1"/>
    <col min="48" max="48" width="6" hidden="1" customWidth="1"/>
    <col min="49" max="49" width="7.28515625" customWidth="1"/>
    <col min="50" max="50" width="12" bestFit="1" customWidth="1"/>
    <col min="51" max="51" width="1.5703125" style="11" customWidth="1"/>
    <col min="52" max="53" width="7" hidden="1" customWidth="1"/>
    <col min="54" max="54" width="12" bestFit="1" customWidth="1"/>
    <col min="56" max="56" width="9.85546875" style="11" customWidth="1"/>
    <col min="57" max="57" width="10.5703125" customWidth="1"/>
  </cols>
  <sheetData>
    <row r="1" spans="1:59" s="25" customFormat="1" ht="21" x14ac:dyDescent="0.35">
      <c r="A1" s="38" t="s">
        <v>0</v>
      </c>
      <c r="E1" s="34"/>
      <c r="K1" s="11"/>
      <c r="O1" s="26"/>
      <c r="AY1" s="11"/>
      <c r="BD1" s="11"/>
    </row>
    <row r="2" spans="1:59" s="25" customFormat="1" x14ac:dyDescent="0.25">
      <c r="A2" s="108" t="s">
        <v>1</v>
      </c>
      <c r="B2" s="108"/>
      <c r="C2" s="108"/>
      <c r="D2" s="24"/>
      <c r="E2" s="34"/>
      <c r="K2" s="11"/>
      <c r="O2" s="26">
        <v>5.0000000000000001E-3</v>
      </c>
      <c r="T2" s="25">
        <v>2.1000000000000001E-2</v>
      </c>
      <c r="Y2" s="25">
        <v>8.3000000000000004E-2</v>
      </c>
      <c r="AD2" s="25">
        <v>0.17199999999999999</v>
      </c>
      <c r="AI2" s="25">
        <v>0.22500000000000001</v>
      </c>
      <c r="AN2" s="25">
        <v>0.11</v>
      </c>
      <c r="AS2" s="25">
        <v>0.13600000000000001</v>
      </c>
      <c r="AX2" s="25">
        <v>0.14099999999999999</v>
      </c>
      <c r="AY2" s="11"/>
      <c r="BC2" s="25">
        <v>0.107</v>
      </c>
      <c r="BD2" s="11"/>
    </row>
    <row r="3" spans="1:59" ht="45.75" customHeight="1" x14ac:dyDescent="0.4">
      <c r="A3" s="24" t="s">
        <v>2</v>
      </c>
      <c r="B3" s="3" t="s">
        <v>3</v>
      </c>
      <c r="C3" s="24" t="s">
        <v>4</v>
      </c>
      <c r="D3" s="9" t="s">
        <v>14</v>
      </c>
      <c r="E3" s="6" t="s">
        <v>9</v>
      </c>
      <c r="F3" s="36" t="s">
        <v>24</v>
      </c>
      <c r="G3" s="49" t="s">
        <v>49</v>
      </c>
      <c r="H3" s="6" t="s">
        <v>16</v>
      </c>
      <c r="I3" s="6" t="s">
        <v>15</v>
      </c>
      <c r="J3" s="6" t="s">
        <v>17</v>
      </c>
      <c r="L3" s="6" t="s">
        <v>22</v>
      </c>
      <c r="M3" s="14" t="s">
        <v>23</v>
      </c>
      <c r="N3" s="8" t="s">
        <v>25</v>
      </c>
      <c r="O3" s="36" t="s">
        <v>86</v>
      </c>
      <c r="P3" s="17"/>
      <c r="Q3" s="34" t="s">
        <v>22</v>
      </c>
      <c r="R3" s="35" t="s">
        <v>23</v>
      </c>
      <c r="S3" s="36" t="s">
        <v>25</v>
      </c>
      <c r="T3" s="36" t="s">
        <v>86</v>
      </c>
      <c r="U3" s="17"/>
      <c r="V3" s="6" t="s">
        <v>22</v>
      </c>
      <c r="W3" s="14" t="s">
        <v>23</v>
      </c>
      <c r="X3" s="8" t="s">
        <v>25</v>
      </c>
      <c r="Y3" s="36" t="s">
        <v>86</v>
      </c>
      <c r="Z3" s="11"/>
      <c r="AA3" t="s">
        <v>28</v>
      </c>
      <c r="AB3" s="14" t="s">
        <v>23</v>
      </c>
      <c r="AC3" s="8" t="s">
        <v>25</v>
      </c>
      <c r="AD3" s="36" t="s">
        <v>86</v>
      </c>
      <c r="AE3" s="11"/>
      <c r="AF3" t="s">
        <v>28</v>
      </c>
      <c r="AG3" s="14" t="s">
        <v>23</v>
      </c>
      <c r="AH3" s="8" t="s">
        <v>25</v>
      </c>
      <c r="AI3" s="36" t="s">
        <v>86</v>
      </c>
      <c r="AJ3" s="11"/>
      <c r="AK3" s="1" t="s">
        <v>28</v>
      </c>
      <c r="AL3" s="15" t="s">
        <v>29</v>
      </c>
      <c r="AM3" s="16" t="s">
        <v>25</v>
      </c>
      <c r="AN3" s="36" t="s">
        <v>86</v>
      </c>
      <c r="AO3" s="11"/>
      <c r="AP3" s="1" t="s">
        <v>28</v>
      </c>
      <c r="AQ3" s="15" t="s">
        <v>29</v>
      </c>
      <c r="AR3" s="16" t="s">
        <v>25</v>
      </c>
      <c r="AS3" s="36" t="s">
        <v>86</v>
      </c>
      <c r="AT3" s="11"/>
      <c r="AU3" s="1" t="s">
        <v>28</v>
      </c>
      <c r="AV3" s="15" t="s">
        <v>29</v>
      </c>
      <c r="AW3" s="16" t="s">
        <v>25</v>
      </c>
      <c r="AX3" s="36" t="s">
        <v>86</v>
      </c>
      <c r="AZ3" s="1" t="s">
        <v>28</v>
      </c>
      <c r="BA3" s="15" t="s">
        <v>29</v>
      </c>
      <c r="BB3" s="16" t="s">
        <v>25</v>
      </c>
      <c r="BC3" s="36" t="s">
        <v>86</v>
      </c>
      <c r="BE3" t="s">
        <v>88</v>
      </c>
      <c r="BG3" t="s">
        <v>87</v>
      </c>
    </row>
    <row r="4" spans="1:59" x14ac:dyDescent="0.25">
      <c r="A4" s="4">
        <v>1</v>
      </c>
      <c r="B4" s="5">
        <v>10</v>
      </c>
      <c r="C4" s="4"/>
      <c r="D4" s="27">
        <f>(B4*B5)^0.5</f>
        <v>11.220071301021219</v>
      </c>
      <c r="E4" s="6" t="s">
        <v>8</v>
      </c>
      <c r="F4" s="51">
        <f>0.065*1600*9.8*B4/1000000</f>
        <v>1.0192E-2</v>
      </c>
      <c r="G4" s="50">
        <v>4.5999999999999999E-2</v>
      </c>
      <c r="H4" s="10">
        <f t="shared" ref="H4:H11" si="0">1600*9.8*(D4/1000000)^2/(18*0.0014)</f>
        <v>7.8331555555555585E-5</v>
      </c>
      <c r="I4" s="7">
        <f>100*H4</f>
        <v>7.8331555555555578E-3</v>
      </c>
      <c r="J4">
        <v>0.1</v>
      </c>
      <c r="L4">
        <v>0.3</v>
      </c>
      <c r="M4" s="7">
        <f>1050*(0.4*L4/10.3)^2</f>
        <v>0.14252050146102363</v>
      </c>
      <c r="N4" s="52">
        <f>0.1*H4*(1-M4/G4)</f>
        <v>-1.6436089179226646E-5</v>
      </c>
      <c r="O4">
        <f>N4*0.101</f>
        <v>-1.6600450071018914E-6</v>
      </c>
      <c r="P4" s="17"/>
      <c r="Q4" s="26">
        <v>0.25</v>
      </c>
      <c r="R4" s="7">
        <f>1050*(0.4*Q4/10.3)^2</f>
        <v>9.8972570459044187E-2</v>
      </c>
      <c r="S4" s="52">
        <f>0.1*H4*(1-R4/G4)</f>
        <v>-9.0204866213765272E-6</v>
      </c>
      <c r="T4" s="26">
        <v>0</v>
      </c>
      <c r="U4" s="17"/>
      <c r="V4">
        <v>0.2</v>
      </c>
      <c r="W4" s="7">
        <f>1050*(0.4*V4/10.3)^2</f>
        <v>6.3342445093788308E-2</v>
      </c>
      <c r="X4" s="52">
        <f>0.1*H4*(1-W4/G4)</f>
        <v>-2.9531754376809807E-6</v>
      </c>
      <c r="Y4">
        <v>0</v>
      </c>
      <c r="Z4" s="11"/>
      <c r="AA4">
        <v>0.15</v>
      </c>
      <c r="AB4" s="7">
        <f>1050*(0.4*AA4/10.3)^2</f>
        <v>3.5630125365255907E-2</v>
      </c>
      <c r="AC4" s="25">
        <f>0.1*H4*(1-AB4/G4)</f>
        <v>1.765844371860008E-6</v>
      </c>
      <c r="AD4">
        <f t="shared" ref="AD4:AD9" si="1">AC4*0.172</f>
        <v>3.0372523195992136E-7</v>
      </c>
      <c r="AE4" s="11"/>
      <c r="AF4">
        <v>0.1</v>
      </c>
      <c r="AG4" s="7">
        <f>1050*(0.4*AF4/10.3)^2</f>
        <v>1.5835611273447077E-2</v>
      </c>
      <c r="AH4">
        <f>0.1*H4*(1-AG4/G4)</f>
        <v>5.136572807246425E-6</v>
      </c>
      <c r="AI4">
        <f t="shared" ref="AI4:AI5" si="2">AH4*0.225</f>
        <v>1.1557288816304456E-6</v>
      </c>
      <c r="AJ4" s="11"/>
      <c r="AK4">
        <v>7.4999999999999997E-2</v>
      </c>
      <c r="AL4" s="7">
        <f>1050*(0.4*AK4/10.3)^2</f>
        <v>8.9075313413139769E-3</v>
      </c>
      <c r="AM4">
        <f>0.1*H4*(1-AL4/G4)</f>
        <v>6.316327759631671E-6</v>
      </c>
      <c r="AN4">
        <f>AM4*0.11</f>
        <v>6.9479605355948377E-7</v>
      </c>
      <c r="AO4" s="11"/>
      <c r="AP4">
        <v>0.05</v>
      </c>
      <c r="AQ4" s="7">
        <f>1050*(0.4*AP4/10.3)^2</f>
        <v>3.9589028183617692E-3</v>
      </c>
      <c r="AR4">
        <f>0.1*H4*(1-AQ4/G4)</f>
        <v>7.1590098684782757E-6</v>
      </c>
      <c r="AS4">
        <f>AR4*0.136</f>
        <v>9.7362534211304555E-7</v>
      </c>
      <c r="AT4" s="11"/>
      <c r="AU4">
        <v>2.5000000000000001E-2</v>
      </c>
      <c r="AV4" s="7">
        <f>1050*(0.4*AU4/10.3)^2</f>
        <v>9.8972570459044231E-4</v>
      </c>
      <c r="AW4">
        <f>0.1*H4*(1-AV4/G4)</f>
        <v>7.6646191337862381E-6</v>
      </c>
      <c r="AX4">
        <f>AW4*0.141</f>
        <v>1.0807112978638596E-6</v>
      </c>
      <c r="AZ4">
        <v>1E-3</v>
      </c>
      <c r="BA4" s="7">
        <f>1050*(0.4*AZ4/10.3)^2</f>
        <v>1.5835611273447073E-6</v>
      </c>
      <c r="BB4" s="10">
        <f>0.1*H4*(1-BA4/G4)</f>
        <v>7.8328858972807287E-6</v>
      </c>
      <c r="BC4" s="10">
        <f>BB4*0.107</f>
        <v>8.38118791009038E-7</v>
      </c>
      <c r="BE4">
        <f>(T4+Y4+AD4+AI4+AN4+AS4+AX4+BC4)*BG4</f>
        <v>5.6624036811083612E-5</v>
      </c>
      <c r="BG4" s="47">
        <v>11.22</v>
      </c>
    </row>
    <row r="5" spans="1:59" x14ac:dyDescent="0.25">
      <c r="A5" s="4">
        <v>1.1000000000000001</v>
      </c>
      <c r="B5" s="5">
        <v>12.589</v>
      </c>
      <c r="C5" s="5">
        <v>2.589</v>
      </c>
      <c r="D5" s="27">
        <f t="shared" ref="D5:D11" si="3">(B5*B6)^0.5</f>
        <v>14.125263218786403</v>
      </c>
      <c r="E5" s="6" t="s">
        <v>5</v>
      </c>
      <c r="F5" s="51">
        <f t="shared" ref="F5:F11" si="4">0.065*1600*9.8*B5/1000000</f>
        <v>1.28307088E-2</v>
      </c>
      <c r="G5" s="50">
        <v>5.1999999999999998E-2</v>
      </c>
      <c r="H5" s="10">
        <f t="shared" si="0"/>
        <v>1.2414768240000002E-4</v>
      </c>
      <c r="I5" s="7">
        <f t="shared" ref="I5:I11" si="5">100*H5</f>
        <v>1.2414768240000002E-2</v>
      </c>
      <c r="J5">
        <v>0.1</v>
      </c>
      <c r="L5">
        <v>0.3</v>
      </c>
      <c r="M5" s="7">
        <f t="shared" ref="M5:M11" si="6">1050*(0.4*L5/10.3)^2</f>
        <v>0.14252050146102363</v>
      </c>
      <c r="N5" s="52">
        <f t="shared" ref="N5:N11" si="7">0.1*H5*(1-M5/G5)</f>
        <v>-2.1611366280907501E-5</v>
      </c>
      <c r="O5">
        <f>N5*0.101</f>
        <v>-2.1827479943716578E-6</v>
      </c>
      <c r="P5" s="17"/>
      <c r="Q5" s="26">
        <v>0.25</v>
      </c>
      <c r="R5" s="7">
        <f t="shared" ref="R5:R11" si="8">1050*(0.4*Q5/10.3)^2</f>
        <v>9.8972570459044187E-2</v>
      </c>
      <c r="S5" s="52">
        <f t="shared" ref="S5:S11" si="9">0.1*H5*(1-R5/G5)</f>
        <v>-1.1214491843963542E-5</v>
      </c>
      <c r="T5" s="26">
        <v>0</v>
      </c>
      <c r="U5" s="17"/>
      <c r="V5">
        <v>0.2</v>
      </c>
      <c r="W5" s="7">
        <f t="shared" ref="W5:W11" si="10">1050*(0.4*V5/10.3)^2</f>
        <v>6.3342445093788308E-2</v>
      </c>
      <c r="X5" s="52">
        <f t="shared" ref="X5:X11" si="11">0.1*H5*(1-W5/G5)</f>
        <v>-2.7079582137366723E-6</v>
      </c>
      <c r="Y5">
        <v>0</v>
      </c>
      <c r="Z5" s="11"/>
      <c r="AA5">
        <v>0.15</v>
      </c>
      <c r="AB5" s="7">
        <f t="shared" ref="AB5:AB11" si="12">1050*(0.4*AA5/10.3)^2</f>
        <v>3.5630125365255907E-2</v>
      </c>
      <c r="AC5" s="25">
        <f t="shared" ref="AC5:AC11" si="13">0.1*H5*(1-AB5/G5)</f>
        <v>3.9082346097731274E-6</v>
      </c>
      <c r="AD5">
        <f t="shared" si="1"/>
        <v>6.7221635288097781E-7</v>
      </c>
      <c r="AE5" s="11"/>
      <c r="AF5">
        <v>0.1</v>
      </c>
      <c r="AG5" s="7">
        <f t="shared" ref="AG5:AG11" si="14">1050*(0.4*AF5/10.3)^2</f>
        <v>1.5835611273447077E-2</v>
      </c>
      <c r="AH5">
        <f t="shared" ref="AH5:AH11" si="15">0.1*H5*(1-AG5/G5)</f>
        <v>8.6340866265658337E-6</v>
      </c>
      <c r="AI5">
        <f t="shared" si="2"/>
        <v>1.9426694909773127E-6</v>
      </c>
      <c r="AJ5" s="11"/>
      <c r="AK5">
        <v>7.4999999999999997E-2</v>
      </c>
      <c r="AL5" s="7">
        <f t="shared" ref="AL5:AL11" si="16">1050*(0.4*AK5/10.3)^2</f>
        <v>8.9075313413139769E-3</v>
      </c>
      <c r="AM5">
        <f t="shared" ref="AM5:AM10" si="17">0.1*H5*(1-AL5/G5)</f>
        <v>1.0288134832443284E-5</v>
      </c>
      <c r="AN5">
        <f t="shared" ref="AN5:AN11" si="18">AM5*0.11</f>
        <v>1.1316948315687613E-6</v>
      </c>
      <c r="AO5" s="11"/>
      <c r="AP5">
        <v>0.05</v>
      </c>
      <c r="AQ5" s="7">
        <f t="shared" ref="AQ5:AQ11" si="19">1050*(0.4*AP5/10.3)^2</f>
        <v>3.9589028183617692E-3</v>
      </c>
      <c r="AR5">
        <f t="shared" ref="AR5:AR11" si="20">0.1*H5*(1-AQ5/G5)</f>
        <v>1.1469597836641462E-5</v>
      </c>
      <c r="AS5">
        <f t="shared" ref="AS5:AS11" si="21">AR5*0.136</f>
        <v>1.559865305783239E-6</v>
      </c>
      <c r="AT5" s="11"/>
      <c r="AU5">
        <v>2.5000000000000001E-2</v>
      </c>
      <c r="AV5" s="7">
        <f t="shared" ref="AV5:AV11" si="22">1050*(0.4*AU5/10.3)^2</f>
        <v>9.8972570459044231E-4</v>
      </c>
      <c r="AW5">
        <f t="shared" ref="AW5:AW11" si="23">0.1*H5*(1-AV5/G5)</f>
        <v>1.2178475639160368E-5</v>
      </c>
      <c r="AX5">
        <f t="shared" ref="AX5:AX11" si="24">AW5*0.141</f>
        <v>1.7171650651216118E-6</v>
      </c>
      <c r="AZ5">
        <v>1E-3</v>
      </c>
      <c r="BA5" s="7">
        <f t="shared" ref="BA5:BA11" si="25">1050*(0.4*AZ5/10.3)^2</f>
        <v>1.5835611273447073E-6</v>
      </c>
      <c r="BB5" s="10">
        <f t="shared" ref="BB5:BB11" si="26">0.1*H5*(1-BA5/G5)</f>
        <v>1.241439017183866E-5</v>
      </c>
      <c r="BC5" s="10">
        <f t="shared" ref="BC5:BC11" si="27">BB5*0.107</f>
        <v>1.3283397483867366E-6</v>
      </c>
      <c r="BE5">
        <f t="shared" ref="BE5:BE11" si="28">(T5+Y5+AD5+AI5+AN5+AS5+AX5+BC5)*BG5</f>
        <v>1.1801306472937438E-4</v>
      </c>
      <c r="BG5" s="47">
        <v>14.13</v>
      </c>
    </row>
    <row r="6" spans="1:59" x14ac:dyDescent="0.25">
      <c r="A6" s="4">
        <v>1.2</v>
      </c>
      <c r="B6" s="5">
        <v>15.849</v>
      </c>
      <c r="C6" s="5">
        <v>3.26</v>
      </c>
      <c r="D6" s="27">
        <f t="shared" si="3"/>
        <v>17.783000224933925</v>
      </c>
      <c r="E6" s="6" t="s">
        <v>6</v>
      </c>
      <c r="F6" s="51">
        <f t="shared" si="4"/>
        <v>1.6153300799999999E-2</v>
      </c>
      <c r="G6" s="50">
        <v>5.8999999999999997E-2</v>
      </c>
      <c r="H6" s="10">
        <f t="shared" si="0"/>
        <v>1.9676850480000003E-4</v>
      </c>
      <c r="I6" s="7">
        <f t="shared" si="5"/>
        <v>1.9676850480000004E-2</v>
      </c>
      <c r="J6">
        <v>0.1</v>
      </c>
      <c r="L6">
        <v>0.3</v>
      </c>
      <c r="M6" s="7">
        <f t="shared" si="6"/>
        <v>0.14252050146102363</v>
      </c>
      <c r="N6" s="52">
        <f t="shared" si="7"/>
        <v>-2.7854583377342102E-5</v>
      </c>
      <c r="O6">
        <f t="shared" ref="O6:O11" si="29">N6*0.101</f>
        <v>-2.8133129211115525E-6</v>
      </c>
      <c r="P6" s="17"/>
      <c r="Q6" s="26">
        <v>0.25</v>
      </c>
      <c r="R6" s="7">
        <f t="shared" si="8"/>
        <v>9.8972570459044187E-2</v>
      </c>
      <c r="S6" s="52">
        <f t="shared" si="9"/>
        <v>-1.3331089698709791E-5</v>
      </c>
      <c r="T6" s="26">
        <v>0</v>
      </c>
      <c r="U6" s="17"/>
      <c r="V6">
        <v>0.2</v>
      </c>
      <c r="W6" s="7">
        <f t="shared" si="10"/>
        <v>6.3342445093788308E-2</v>
      </c>
      <c r="X6" s="52">
        <f t="shared" si="11"/>
        <v>-1.4482312343742757E-6</v>
      </c>
      <c r="Y6">
        <v>0</v>
      </c>
      <c r="Z6" s="11"/>
      <c r="AA6">
        <v>0.15</v>
      </c>
      <c r="AB6" s="7">
        <f t="shared" si="12"/>
        <v>3.5630125365255907E-2</v>
      </c>
      <c r="AC6" s="25">
        <f t="shared" si="13"/>
        <v>7.7939920156644768E-6</v>
      </c>
      <c r="AD6">
        <f t="shared" si="1"/>
        <v>1.3405666266942898E-6</v>
      </c>
      <c r="AE6" s="11"/>
      <c r="AF6">
        <v>0.1</v>
      </c>
      <c r="AG6" s="7">
        <f t="shared" si="14"/>
        <v>1.5835611273447077E-2</v>
      </c>
      <c r="AH6">
        <f t="shared" si="15"/>
        <v>1.4395580051406435E-5</v>
      </c>
      <c r="AI6">
        <f>AH6*0.225</f>
        <v>3.2390055115664478E-6</v>
      </c>
      <c r="AJ6" s="11"/>
      <c r="AK6">
        <v>7.4999999999999997E-2</v>
      </c>
      <c r="AL6" s="7">
        <f t="shared" si="16"/>
        <v>8.9075313413139769E-3</v>
      </c>
      <c r="AM6">
        <f t="shared" si="17"/>
        <v>1.6706135863916121E-5</v>
      </c>
      <c r="AN6">
        <f t="shared" si="18"/>
        <v>1.8376749450307734E-6</v>
      </c>
      <c r="AO6" s="11"/>
      <c r="AP6">
        <v>0.05</v>
      </c>
      <c r="AQ6" s="7">
        <f t="shared" si="19"/>
        <v>3.9589028183617692E-3</v>
      </c>
      <c r="AR6">
        <f t="shared" si="20"/>
        <v>1.835653287285161E-5</v>
      </c>
      <c r="AS6">
        <f t="shared" si="21"/>
        <v>2.4964884707078189E-6</v>
      </c>
      <c r="AT6" s="11"/>
      <c r="AU6">
        <v>2.5000000000000001E-2</v>
      </c>
      <c r="AV6" s="7">
        <f t="shared" si="22"/>
        <v>9.8972570459044231E-4</v>
      </c>
      <c r="AW6">
        <f t="shared" si="23"/>
        <v>1.9346771078212905E-5</v>
      </c>
      <c r="AX6">
        <f t="shared" si="24"/>
        <v>2.7278947220280193E-6</v>
      </c>
      <c r="AZ6">
        <v>1E-3</v>
      </c>
      <c r="BA6" s="7">
        <f t="shared" si="25"/>
        <v>1.5835611273447073E-6</v>
      </c>
      <c r="BB6" s="10">
        <f t="shared" si="26"/>
        <v>1.9676322352957142E-5</v>
      </c>
      <c r="BC6" s="10">
        <f t="shared" si="27"/>
        <v>2.1053664917664144E-6</v>
      </c>
      <c r="BE6">
        <f t="shared" si="28"/>
        <v>2.4442160253137314E-4</v>
      </c>
      <c r="BG6" s="47">
        <v>17.78</v>
      </c>
    </row>
    <row r="7" spans="1:59" x14ac:dyDescent="0.25">
      <c r="A7" s="4">
        <v>1.3</v>
      </c>
      <c r="B7" s="5">
        <v>19.952999999999999</v>
      </c>
      <c r="C7" s="5">
        <v>4.1040000000000001</v>
      </c>
      <c r="D7" s="27">
        <f t="shared" si="3"/>
        <v>22.387483266325404</v>
      </c>
      <c r="E7" s="6" t="s">
        <v>7</v>
      </c>
      <c r="F7" s="51">
        <f t="shared" si="4"/>
        <v>2.0336097600000002E-2</v>
      </c>
      <c r="G7" s="50">
        <v>6.6000000000000003E-2</v>
      </c>
      <c r="H7" s="10">
        <f t="shared" si="0"/>
        <v>3.118574088E-4</v>
      </c>
      <c r="I7" s="7">
        <f t="shared" si="5"/>
        <v>3.118574088E-2</v>
      </c>
      <c r="J7">
        <v>0.1</v>
      </c>
      <c r="L7">
        <v>0.3</v>
      </c>
      <c r="M7" s="7">
        <f t="shared" si="6"/>
        <v>0.14252050146102363</v>
      </c>
      <c r="N7" s="52">
        <f t="shared" si="7"/>
        <v>-3.6156795917744619E-5</v>
      </c>
      <c r="O7">
        <f t="shared" si="29"/>
        <v>-3.6518363876922066E-6</v>
      </c>
      <c r="P7" s="17"/>
      <c r="Q7" s="26">
        <v>0.25</v>
      </c>
      <c r="R7" s="7">
        <f t="shared" si="8"/>
        <v>9.8972570459044187E-2</v>
      </c>
      <c r="S7" s="52">
        <f t="shared" si="9"/>
        <v>-1.5579909673989315E-5</v>
      </c>
      <c r="T7" s="26">
        <v>0</v>
      </c>
      <c r="U7" s="17"/>
      <c r="V7">
        <v>0.2</v>
      </c>
      <c r="W7" s="7">
        <f t="shared" si="10"/>
        <v>6.3342445093788308E-2</v>
      </c>
      <c r="X7" s="25">
        <f t="shared" si="11"/>
        <v>1.2557245254468275E-6</v>
      </c>
      <c r="Y7" s="26">
        <f>X7*0.083</f>
        <v>1.0422513561208669E-7</v>
      </c>
      <c r="Z7" s="11"/>
      <c r="AA7">
        <v>0.15</v>
      </c>
      <c r="AB7" s="7">
        <f t="shared" si="12"/>
        <v>3.5630125365255907E-2</v>
      </c>
      <c r="AC7" s="25">
        <f t="shared" si="13"/>
        <v>1.4350106680563848E-5</v>
      </c>
      <c r="AD7">
        <f t="shared" si="1"/>
        <v>2.4682183490569815E-6</v>
      </c>
      <c r="AE7" s="11"/>
      <c r="AF7">
        <v>0.1</v>
      </c>
      <c r="AG7" s="7">
        <f t="shared" si="14"/>
        <v>1.5835611273447077E-2</v>
      </c>
      <c r="AH7">
        <f t="shared" si="15"/>
        <v>2.3703236791361709E-5</v>
      </c>
      <c r="AI7">
        <f t="shared" ref="AI7:AI11" si="30">AH7*0.225</f>
        <v>5.3332282780563848E-6</v>
      </c>
      <c r="AJ7" s="11"/>
      <c r="AK7">
        <v>7.4999999999999997E-2</v>
      </c>
      <c r="AL7" s="7">
        <f t="shared" si="16"/>
        <v>8.9075313413139769E-3</v>
      </c>
      <c r="AM7">
        <f t="shared" si="17"/>
        <v>2.6976832330140967E-5</v>
      </c>
      <c r="AN7">
        <f t="shared" si="18"/>
        <v>2.9674515563155066E-6</v>
      </c>
      <c r="AO7" s="11"/>
      <c r="AP7">
        <v>0.05</v>
      </c>
      <c r="AQ7" s="7">
        <f t="shared" si="19"/>
        <v>3.9589028183617692E-3</v>
      </c>
      <c r="AR7">
        <f t="shared" si="20"/>
        <v>2.9315114857840429E-5</v>
      </c>
      <c r="AS7">
        <f t="shared" si="21"/>
        <v>3.9868556206662984E-6</v>
      </c>
      <c r="AT7" s="11"/>
      <c r="AU7">
        <v>2.5000000000000001E-2</v>
      </c>
      <c r="AV7" s="7">
        <f t="shared" si="22"/>
        <v>9.8972570459044231E-4</v>
      </c>
      <c r="AW7">
        <f t="shared" si="23"/>
        <v>3.0718084374460109E-5</v>
      </c>
      <c r="AX7">
        <f t="shared" si="24"/>
        <v>4.3312498967988748E-6</v>
      </c>
      <c r="AZ7">
        <v>1E-3</v>
      </c>
      <c r="BA7" s="7">
        <f t="shared" si="25"/>
        <v>1.5835611273447073E-6</v>
      </c>
      <c r="BB7" s="10">
        <f t="shared" si="26"/>
        <v>3.1184992629591138E-5</v>
      </c>
      <c r="BC7" s="10">
        <f t="shared" si="27"/>
        <v>3.3367942113662518E-6</v>
      </c>
      <c r="BE7">
        <f t="shared" si="28"/>
        <v>5.0440243604186271E-4</v>
      </c>
      <c r="BG7" s="47">
        <v>22.39</v>
      </c>
    </row>
    <row r="8" spans="1:59" x14ac:dyDescent="0.25">
      <c r="A8" s="4">
        <v>1.4</v>
      </c>
      <c r="B8" s="5">
        <v>25.119</v>
      </c>
      <c r="C8" s="5">
        <v>5.1660000000000004</v>
      </c>
      <c r="D8" s="27">
        <f t="shared" si="3"/>
        <v>28.184004985097488</v>
      </c>
      <c r="E8" s="6" t="s">
        <v>10</v>
      </c>
      <c r="F8" s="51">
        <f t="shared" si="4"/>
        <v>2.5601284800000002E-2</v>
      </c>
      <c r="G8" s="50">
        <v>7.4999999999999997E-2</v>
      </c>
      <c r="H8" s="10">
        <f t="shared" si="0"/>
        <v>4.9425484080000011E-4</v>
      </c>
      <c r="I8" s="7">
        <f t="shared" si="5"/>
        <v>4.9425484080000012E-2</v>
      </c>
      <c r="J8">
        <v>0.1</v>
      </c>
      <c r="L8">
        <v>0.3</v>
      </c>
      <c r="M8" s="7">
        <f t="shared" si="6"/>
        <v>0.14252050146102363</v>
      </c>
      <c r="N8" s="52">
        <f t="shared" si="7"/>
        <v>-4.4496446267139212E-5</v>
      </c>
      <c r="O8">
        <f t="shared" si="29"/>
        <v>-4.4941410729810605E-6</v>
      </c>
      <c r="P8" s="17"/>
      <c r="Q8" s="26">
        <v>0.25</v>
      </c>
      <c r="R8" s="7">
        <f t="shared" si="8"/>
        <v>9.8972570459044187E-2</v>
      </c>
      <c r="S8" s="52">
        <f t="shared" si="9"/>
        <v>-1.5798078661068897E-5</v>
      </c>
      <c r="T8" s="26">
        <v>0</v>
      </c>
      <c r="U8" s="17"/>
      <c r="V8">
        <v>0.2</v>
      </c>
      <c r="W8" s="7">
        <f t="shared" si="10"/>
        <v>6.3342445093788308E-2</v>
      </c>
      <c r="X8" s="25">
        <f t="shared" si="11"/>
        <v>7.6824039257158937E-6</v>
      </c>
      <c r="Y8" s="26">
        <f t="shared" ref="Y8:Y11" si="31">X8*0.083</f>
        <v>6.3763952583441921E-7</v>
      </c>
      <c r="Z8" s="11"/>
      <c r="AA8">
        <v>0.15</v>
      </c>
      <c r="AB8" s="7">
        <f t="shared" si="12"/>
        <v>3.5630125365255907E-2</v>
      </c>
      <c r="AC8" s="25">
        <f t="shared" si="13"/>
        <v>2.5945001493215206E-5</v>
      </c>
      <c r="AD8">
        <f t="shared" si="1"/>
        <v>4.4625402568330149E-6</v>
      </c>
      <c r="AE8" s="11"/>
      <c r="AF8">
        <v>0.1</v>
      </c>
      <c r="AG8" s="7">
        <f t="shared" si="14"/>
        <v>1.5835611273447077E-2</v>
      </c>
      <c r="AH8">
        <f t="shared" si="15"/>
        <v>3.898971404142898E-5</v>
      </c>
      <c r="AI8">
        <f t="shared" si="30"/>
        <v>8.7726856593215206E-6</v>
      </c>
      <c r="AJ8" s="11"/>
      <c r="AK8">
        <v>7.4999999999999997E-2</v>
      </c>
      <c r="AL8" s="7">
        <f t="shared" si="16"/>
        <v>8.9075313413139769E-3</v>
      </c>
      <c r="AM8">
        <f t="shared" si="17"/>
        <v>4.3555363433303809E-5</v>
      </c>
      <c r="AN8">
        <f t="shared" si="18"/>
        <v>4.7910899776634192E-6</v>
      </c>
      <c r="AO8" s="11"/>
      <c r="AP8">
        <v>0.05</v>
      </c>
      <c r="AQ8" s="7">
        <f t="shared" si="19"/>
        <v>3.9589028183617692E-3</v>
      </c>
      <c r="AR8">
        <f t="shared" si="20"/>
        <v>4.6816541570357252E-5</v>
      </c>
      <c r="AS8">
        <f t="shared" si="21"/>
        <v>6.3670496535685867E-6</v>
      </c>
      <c r="AT8" s="11"/>
      <c r="AU8">
        <v>2.5000000000000001E-2</v>
      </c>
      <c r="AV8" s="7">
        <f t="shared" si="22"/>
        <v>9.8972570459044231E-4</v>
      </c>
      <c r="AW8">
        <f t="shared" si="23"/>
        <v>4.8773248452589321E-5</v>
      </c>
      <c r="AX8">
        <f t="shared" si="24"/>
        <v>6.877028031815094E-6</v>
      </c>
      <c r="AZ8">
        <v>1E-3</v>
      </c>
      <c r="BA8" s="7">
        <f t="shared" si="25"/>
        <v>1.5835611273447073E-6</v>
      </c>
      <c r="BB8" s="10">
        <f t="shared" si="26"/>
        <v>4.9424440502996154E-5</v>
      </c>
      <c r="BC8" s="10">
        <f t="shared" si="27"/>
        <v>5.2884151338205884E-6</v>
      </c>
      <c r="BE8">
        <f t="shared" si="28"/>
        <v>1.0481959113709802E-3</v>
      </c>
      <c r="BG8" s="47">
        <v>28.18</v>
      </c>
    </row>
    <row r="9" spans="1:59" x14ac:dyDescent="0.25">
      <c r="A9" s="4">
        <v>1.5</v>
      </c>
      <c r="B9" s="5">
        <v>31.623000000000001</v>
      </c>
      <c r="C9" s="5">
        <v>6.5039999999999996</v>
      </c>
      <c r="D9" s="27">
        <f t="shared" si="3"/>
        <v>35.481590339216758</v>
      </c>
      <c r="E9" s="6" t="s">
        <v>11</v>
      </c>
      <c r="F9" s="51">
        <f t="shared" si="4"/>
        <v>3.2230161600000001E-2</v>
      </c>
      <c r="G9" s="50">
        <v>8.5000000000000006E-2</v>
      </c>
      <c r="H9" s="10">
        <f t="shared" si="0"/>
        <v>7.8334246853333357E-4</v>
      </c>
      <c r="I9" s="7">
        <f t="shared" si="5"/>
        <v>7.8334246853333359E-2</v>
      </c>
      <c r="J9">
        <v>0.1</v>
      </c>
      <c r="L9">
        <v>0.3</v>
      </c>
      <c r="M9" s="7">
        <f t="shared" si="6"/>
        <v>0.14252050146102363</v>
      </c>
      <c r="N9" s="52">
        <f t="shared" si="7"/>
        <v>-5.3009707771474662E-5</v>
      </c>
      <c r="O9">
        <f t="shared" si="29"/>
        <v>-5.3539804849189408E-6</v>
      </c>
      <c r="P9" s="17"/>
      <c r="Q9" s="26">
        <v>0.25</v>
      </c>
      <c r="R9" s="7">
        <f t="shared" si="8"/>
        <v>9.8972570459044187E-2</v>
      </c>
      <c r="S9" s="52">
        <f t="shared" si="9"/>
        <v>-1.2876832747227759E-5</v>
      </c>
      <c r="T9" s="26">
        <v>0</v>
      </c>
      <c r="U9" s="17"/>
      <c r="V9">
        <v>0.2</v>
      </c>
      <c r="W9" s="7">
        <f t="shared" si="10"/>
        <v>6.3342445093788308E-2</v>
      </c>
      <c r="X9" s="25">
        <f t="shared" si="11"/>
        <v>1.9959155908974211E-5</v>
      </c>
      <c r="Y9" s="26">
        <f t="shared" si="31"/>
        <v>1.6566099404448596E-6</v>
      </c>
      <c r="Z9" s="11"/>
      <c r="AA9">
        <v>0.15</v>
      </c>
      <c r="AB9" s="7">
        <f t="shared" si="12"/>
        <v>3.5630125365255907E-2</v>
      </c>
      <c r="AC9" s="25">
        <f t="shared" si="13"/>
        <v>4.5498258197131356E-5</v>
      </c>
      <c r="AD9">
        <f t="shared" si="1"/>
        <v>7.8257004099065925E-6</v>
      </c>
      <c r="AE9" s="11"/>
      <c r="AF9">
        <v>0.1</v>
      </c>
      <c r="AG9" s="7">
        <f t="shared" si="14"/>
        <v>1.5835611273447077E-2</v>
      </c>
      <c r="AH9">
        <f t="shared" si="15"/>
        <v>6.3740474117243576E-5</v>
      </c>
      <c r="AI9">
        <f t="shared" si="30"/>
        <v>1.4341606676379805E-5</v>
      </c>
      <c r="AJ9" s="11"/>
      <c r="AK9">
        <v>7.4999999999999997E-2</v>
      </c>
      <c r="AL9" s="7">
        <f t="shared" si="16"/>
        <v>8.9075313413139769E-3</v>
      </c>
      <c r="AM9">
        <f t="shared" si="17"/>
        <v>7.0125249689282864E-5</v>
      </c>
      <c r="AN9">
        <f t="shared" si="18"/>
        <v>7.7137774658211151E-6</v>
      </c>
      <c r="AO9" s="11"/>
      <c r="AP9">
        <v>0.05</v>
      </c>
      <c r="AQ9" s="7">
        <f t="shared" si="19"/>
        <v>3.9589028183617692E-3</v>
      </c>
      <c r="AR9">
        <f t="shared" si="20"/>
        <v>7.4685803669310917E-5</v>
      </c>
      <c r="AS9">
        <f t="shared" si="21"/>
        <v>1.0157269299026285E-5</v>
      </c>
      <c r="AT9" s="11"/>
      <c r="AU9">
        <v>2.5000000000000001E-2</v>
      </c>
      <c r="AV9" s="7">
        <f t="shared" si="22"/>
        <v>9.8972570459044231E-4</v>
      </c>
      <c r="AW9">
        <f t="shared" si="23"/>
        <v>7.7422136057327749E-5</v>
      </c>
      <c r="AX9">
        <f t="shared" si="24"/>
        <v>1.0916521184083211E-5</v>
      </c>
      <c r="AZ9">
        <v>1E-3</v>
      </c>
      <c r="BA9" s="7">
        <f t="shared" si="25"/>
        <v>1.5835611273447073E-6</v>
      </c>
      <c r="BB9" s="10">
        <f t="shared" si="26"/>
        <v>7.8332787476059751E-5</v>
      </c>
      <c r="BC9" s="10">
        <f t="shared" si="27"/>
        <v>8.3816082599383938E-6</v>
      </c>
      <c r="BE9">
        <f t="shared" si="28"/>
        <v>2.1640349479990972E-3</v>
      </c>
      <c r="BG9" s="47">
        <v>35.479999999999997</v>
      </c>
    </row>
    <row r="10" spans="1:59" x14ac:dyDescent="0.25">
      <c r="A10" s="4">
        <v>1.6</v>
      </c>
      <c r="B10" s="5">
        <v>39.811</v>
      </c>
      <c r="C10" s="5">
        <v>8.1880000000000006</v>
      </c>
      <c r="D10" s="27">
        <f t="shared" si="3"/>
        <v>44.668641226256256</v>
      </c>
      <c r="E10" s="6" t="s">
        <v>12</v>
      </c>
      <c r="F10" s="51">
        <f t="shared" si="4"/>
        <v>4.0575371200000002E-2</v>
      </c>
      <c r="G10" s="50">
        <v>9.7000000000000003E-2</v>
      </c>
      <c r="H10" s="10">
        <f t="shared" si="0"/>
        <v>1.2415122278222224E-3</v>
      </c>
      <c r="I10" s="7">
        <f t="shared" si="5"/>
        <v>0.12415122278222224</v>
      </c>
      <c r="J10">
        <v>0.1</v>
      </c>
      <c r="L10">
        <v>0.3</v>
      </c>
      <c r="M10" s="7">
        <f t="shared" si="6"/>
        <v>0.14252050146102363</v>
      </c>
      <c r="N10" s="52">
        <f t="shared" si="7"/>
        <v>-5.8262122866453792E-5</v>
      </c>
      <c r="O10">
        <f t="shared" si="29"/>
        <v>-5.8844744095118332E-6</v>
      </c>
      <c r="P10" s="17"/>
      <c r="Q10" s="26">
        <v>0.25</v>
      </c>
      <c r="R10" s="7">
        <f t="shared" si="8"/>
        <v>9.8972570459044187E-2</v>
      </c>
      <c r="S10" s="52">
        <f t="shared" si="9"/>
        <v>-2.5247116960250123E-6</v>
      </c>
      <c r="T10" s="26">
        <v>0</v>
      </c>
      <c r="U10" s="17"/>
      <c r="V10">
        <v>0.2</v>
      </c>
      <c r="W10" s="7">
        <f t="shared" si="10"/>
        <v>6.3342445093788308E-2</v>
      </c>
      <c r="X10" s="25">
        <f t="shared" si="11"/>
        <v>4.3078624716143972E-5</v>
      </c>
      <c r="Y10" s="26">
        <f t="shared" si="31"/>
        <v>3.5755258514399499E-6</v>
      </c>
      <c r="Z10" s="11"/>
      <c r="AA10">
        <v>0.15</v>
      </c>
      <c r="AB10" s="7">
        <f t="shared" si="12"/>
        <v>3.5630125365255907E-2</v>
      </c>
      <c r="AC10" s="25">
        <f t="shared" si="13"/>
        <v>7.8547886370053234E-5</v>
      </c>
      <c r="AD10">
        <f>AC10*0.172</f>
        <v>1.3510236455649155E-5</v>
      </c>
      <c r="AE10" s="11"/>
      <c r="AF10">
        <v>0.1</v>
      </c>
      <c r="AG10" s="7">
        <f t="shared" si="14"/>
        <v>1.5835611273447077E-2</v>
      </c>
      <c r="AH10">
        <f t="shared" si="15"/>
        <v>1.0388307326570268E-4</v>
      </c>
      <c r="AI10">
        <f t="shared" si="30"/>
        <v>2.3373691484783104E-5</v>
      </c>
      <c r="AJ10" s="11"/>
      <c r="AK10">
        <v>7.4999999999999997E-2</v>
      </c>
      <c r="AL10" s="7">
        <f t="shared" si="16"/>
        <v>8.9075313413139769E-3</v>
      </c>
      <c r="AM10">
        <f t="shared" si="17"/>
        <v>1.1275038867918E-4</v>
      </c>
      <c r="AN10">
        <f t="shared" si="18"/>
        <v>1.24025427547098E-5</v>
      </c>
      <c r="AO10" s="11"/>
      <c r="AP10">
        <v>0.05</v>
      </c>
      <c r="AQ10" s="7">
        <f t="shared" si="19"/>
        <v>3.9589028183617692E-3</v>
      </c>
      <c r="AR10">
        <f t="shared" si="20"/>
        <v>1.1908418540309235E-4</v>
      </c>
      <c r="AS10">
        <f t="shared" si="21"/>
        <v>1.6195449214820561E-5</v>
      </c>
      <c r="AT10" s="11"/>
      <c r="AU10">
        <v>2.5000000000000001E-2</v>
      </c>
      <c r="AV10" s="7">
        <f t="shared" si="22"/>
        <v>9.8972570459044231E-4</v>
      </c>
      <c r="AW10">
        <f t="shared" si="23"/>
        <v>1.2288446343743976E-4</v>
      </c>
      <c r="AX10">
        <f t="shared" si="24"/>
        <v>1.7326709344679003E-5</v>
      </c>
      <c r="AZ10">
        <v>1E-3</v>
      </c>
      <c r="BA10" s="7">
        <f t="shared" si="25"/>
        <v>1.5835611273447073E-6</v>
      </c>
      <c r="BB10" s="10">
        <f t="shared" si="26"/>
        <v>1.2414919596727059E-4</v>
      </c>
      <c r="BC10" s="10">
        <f t="shared" si="27"/>
        <v>1.3283963968497952E-5</v>
      </c>
      <c r="BE10">
        <f t="shared" si="28"/>
        <v>4.4521748790614674E-3</v>
      </c>
      <c r="BG10" s="47">
        <v>44.67</v>
      </c>
    </row>
    <row r="11" spans="1:59" x14ac:dyDescent="0.25">
      <c r="A11" s="4">
        <v>1.7</v>
      </c>
      <c r="B11" s="5">
        <v>50.119</v>
      </c>
      <c r="C11" s="5">
        <v>10.308</v>
      </c>
      <c r="D11" s="27">
        <f t="shared" si="3"/>
        <v>56.234406051811376</v>
      </c>
      <c r="E11" s="6" t="s">
        <v>13</v>
      </c>
      <c r="F11" s="51">
        <f t="shared" si="4"/>
        <v>5.1081284800000001E-2</v>
      </c>
      <c r="G11" s="50">
        <v>0.11</v>
      </c>
      <c r="H11" s="10">
        <f t="shared" si="0"/>
        <v>1.9676585749333333E-3</v>
      </c>
      <c r="I11" s="7">
        <f t="shared" si="5"/>
        <v>0.19676585749333333</v>
      </c>
      <c r="J11">
        <v>0.1</v>
      </c>
      <c r="L11">
        <v>0.3</v>
      </c>
      <c r="M11" s="7">
        <f t="shared" si="6"/>
        <v>0.14252050146102363</v>
      </c>
      <c r="N11" s="52">
        <f t="shared" si="7"/>
        <v>-5.8172039600831957E-5</v>
      </c>
      <c r="O11">
        <f t="shared" si="29"/>
        <v>-5.8753759996840278E-6</v>
      </c>
      <c r="P11" s="17"/>
      <c r="Q11" s="26">
        <v>0.25</v>
      </c>
      <c r="R11" s="7">
        <f t="shared" si="8"/>
        <v>9.8972570459044187E-2</v>
      </c>
      <c r="S11" s="25">
        <f t="shared" si="9"/>
        <v>1.9725651177940778E-5</v>
      </c>
      <c r="T11" s="26">
        <f>S11*0.021</f>
        <v>4.1423867473675634E-7</v>
      </c>
      <c r="U11" s="17"/>
      <c r="V11">
        <v>0.2</v>
      </c>
      <c r="W11" s="7">
        <f t="shared" si="10"/>
        <v>6.3342445093788308E-2</v>
      </c>
      <c r="X11" s="25">
        <f t="shared" si="11"/>
        <v>8.3460125451482065E-5</v>
      </c>
      <c r="Y11" s="26">
        <f t="shared" si="31"/>
        <v>6.9271904124730119E-6</v>
      </c>
      <c r="Z11" s="11"/>
      <c r="AA11">
        <v>0.15</v>
      </c>
      <c r="AB11" s="7">
        <f t="shared" si="12"/>
        <v>3.5630125365255907E-2</v>
      </c>
      <c r="AC11" s="25">
        <f t="shared" si="13"/>
        <v>1.3303138321979201E-4</v>
      </c>
      <c r="AD11">
        <f>AC11*0.172</f>
        <v>2.2881397913804222E-5</v>
      </c>
      <c r="AE11" s="11"/>
      <c r="AF11">
        <v>0.1</v>
      </c>
      <c r="AG11" s="7">
        <f t="shared" si="14"/>
        <v>1.5835611273447077E-2</v>
      </c>
      <c r="AH11">
        <f t="shared" si="15"/>
        <v>1.6843942448287053E-4</v>
      </c>
      <c r="AI11">
        <f t="shared" si="30"/>
        <v>3.7898870508645869E-5</v>
      </c>
      <c r="AJ11" s="11"/>
      <c r="AK11">
        <v>7.4999999999999997E-2</v>
      </c>
      <c r="AL11" s="7">
        <f t="shared" si="16"/>
        <v>8.9075313413139769E-3</v>
      </c>
      <c r="AM11">
        <f>0.1*H11*(1-AL11/G11)</f>
        <v>1.8083223892494799E-4</v>
      </c>
      <c r="AN11">
        <f t="shared" si="18"/>
        <v>1.989154628174428E-5</v>
      </c>
      <c r="AO11" s="11"/>
      <c r="AP11">
        <v>0.05</v>
      </c>
      <c r="AQ11" s="7">
        <f t="shared" si="19"/>
        <v>3.9589028183617692E-3</v>
      </c>
      <c r="AR11">
        <f t="shared" si="20"/>
        <v>1.8968424924071766E-4</v>
      </c>
      <c r="AS11">
        <f t="shared" si="21"/>
        <v>2.5797057896737603E-5</v>
      </c>
      <c r="AT11" s="11"/>
      <c r="AU11">
        <v>2.5000000000000001E-2</v>
      </c>
      <c r="AV11" s="7">
        <f t="shared" si="22"/>
        <v>9.8972570459044231E-4</v>
      </c>
      <c r="AW11">
        <f t="shared" si="23"/>
        <v>1.9499545543017941E-4</v>
      </c>
      <c r="AX11">
        <f t="shared" si="24"/>
        <v>2.7494359215655293E-5</v>
      </c>
      <c r="AZ11">
        <v>1E-3</v>
      </c>
      <c r="BA11" s="7">
        <f t="shared" si="25"/>
        <v>1.5835611273447073E-6</v>
      </c>
      <c r="BB11" s="10">
        <f t="shared" si="26"/>
        <v>1.967630248500323E-4</v>
      </c>
      <c r="BC11" s="10">
        <f t="shared" si="27"/>
        <v>2.1053643658953454E-5</v>
      </c>
      <c r="BE11">
        <f t="shared" si="28"/>
        <v>9.1294074655634602E-3</v>
      </c>
      <c r="BG11" s="47">
        <v>56.23</v>
      </c>
    </row>
    <row r="12" spans="1:59" x14ac:dyDescent="0.25">
      <c r="A12" s="4">
        <v>1.8</v>
      </c>
      <c r="B12" s="5">
        <v>63.095999999999997</v>
      </c>
      <c r="C12" s="5">
        <v>12.977</v>
      </c>
      <c r="D12" s="5" t="s">
        <v>93</v>
      </c>
      <c r="G12" s="18"/>
      <c r="I12" s="11" t="s">
        <v>18</v>
      </c>
      <c r="J12" s="11">
        <f>SUM(J4:J11)</f>
        <v>0.79999999999999993</v>
      </c>
      <c r="O12" s="46">
        <v>0</v>
      </c>
      <c r="P12" s="17"/>
      <c r="Q12" s="26"/>
      <c r="R12" s="26"/>
      <c r="S12" s="26"/>
      <c r="T12" s="48">
        <f>SUM(T4:T11)</f>
        <v>4.1423867473675634E-7</v>
      </c>
      <c r="U12" s="17"/>
      <c r="Y12" s="48">
        <f>SUM(Y4:Y11)</f>
        <v>1.2901190865804328E-5</v>
      </c>
      <c r="Z12" s="11"/>
      <c r="AD12" s="46">
        <f>SUM(AD4:AD11)</f>
        <v>5.3464601596785153E-5</v>
      </c>
      <c r="AE12" s="11"/>
      <c r="AI12" s="46">
        <f>SUM(AI4:AI11)</f>
        <v>9.6057486491360887E-5</v>
      </c>
      <c r="AJ12" s="11"/>
      <c r="AN12" s="46">
        <f>SUM(AN4:AN11)</f>
        <v>5.1430573866413144E-5</v>
      </c>
      <c r="AO12" s="11"/>
      <c r="AS12" s="46">
        <f>SUM(AS4:AS11)</f>
        <v>6.7533660803423433E-5</v>
      </c>
      <c r="AT12" s="11"/>
      <c r="AX12" s="46">
        <f>SUM(AX4:AX11)</f>
        <v>7.247163875804497E-5</v>
      </c>
      <c r="BC12" s="46">
        <f>SUM(BC4:BC11)</f>
        <v>5.5616250263738827E-5</v>
      </c>
      <c r="BD12" s="11" t="s">
        <v>89</v>
      </c>
      <c r="BE12" s="53">
        <f>SUM(BE4:BE11)</f>
        <v>1.7717274344108698E-2</v>
      </c>
    </row>
    <row r="13" spans="1:59" x14ac:dyDescent="0.25">
      <c r="B13" s="39" t="s">
        <v>94</v>
      </c>
      <c r="C13" s="39"/>
      <c r="D13" s="57">
        <f>AVERAGE(D4:D11)</f>
        <v>28.760557576681101</v>
      </c>
      <c r="F13" t="s">
        <v>52</v>
      </c>
      <c r="G13" t="s">
        <v>56</v>
      </c>
      <c r="M13" t="s">
        <v>58</v>
      </c>
      <c r="O13" s="26"/>
      <c r="P13" s="17"/>
      <c r="Q13" s="26"/>
      <c r="R13" s="26"/>
      <c r="S13" s="26"/>
      <c r="T13" s="25">
        <f>100*T12/0.0004099</f>
        <v>0.10105847151421234</v>
      </c>
      <c r="U13" s="17"/>
      <c r="Y13" s="25">
        <f>100*Y12/0.0004099</f>
        <v>3.1473995769222562</v>
      </c>
      <c r="Z13" s="11"/>
      <c r="AD13" s="25">
        <f>100*AD12/0.0004099</f>
        <v>13.043328030442828</v>
      </c>
      <c r="AI13" s="25">
        <f>100*AI12/0.0004099</f>
        <v>23.434370942025105</v>
      </c>
      <c r="AJ13" s="11"/>
      <c r="AN13" s="25">
        <f>100*AN12/0.0004099</f>
        <v>12.547102675387446</v>
      </c>
      <c r="AO13" s="11"/>
      <c r="AS13" s="25">
        <f>100*AS12/0.0004099</f>
        <v>16.475643035721745</v>
      </c>
      <c r="AT13" s="25"/>
      <c r="AX13" s="25">
        <f>100*AX12/0.0004099</f>
        <v>17.680321726773595</v>
      </c>
      <c r="BB13" t="s">
        <v>92</v>
      </c>
      <c r="BC13" s="25">
        <f>100*BC12/0.0004099</f>
        <v>13.568248417599129</v>
      </c>
      <c r="BD13" s="11" t="s">
        <v>90</v>
      </c>
      <c r="BE13" s="53">
        <f>O12+T12+Y12+AD12+AI12+AN12+AS12+AX12+BC12</f>
        <v>4.0988964132030749E-4</v>
      </c>
      <c r="BF13" s="54">
        <f>BE12/BE13</f>
        <v>43.224498884721918</v>
      </c>
      <c r="BG13" t="s">
        <v>91</v>
      </c>
    </row>
    <row r="14" spans="1:59" x14ac:dyDescent="0.25">
      <c r="H14" t="s">
        <v>15</v>
      </c>
      <c r="I14" s="6" t="s">
        <v>84</v>
      </c>
      <c r="J14" t="s">
        <v>85</v>
      </c>
      <c r="L14" t="s">
        <v>48</v>
      </c>
      <c r="O14"/>
      <c r="P14" s="17"/>
      <c r="Q14" s="26"/>
      <c r="R14" s="26"/>
      <c r="S14" s="26"/>
      <c r="T14" s="26"/>
      <c r="U14" s="17"/>
      <c r="Y14"/>
      <c r="Z14" s="11"/>
      <c r="AD14"/>
      <c r="AE14" s="11"/>
      <c r="AI14"/>
      <c r="AJ14" s="11"/>
      <c r="AN14"/>
      <c r="AO14" s="11"/>
      <c r="AS14"/>
      <c r="AT14" s="11"/>
      <c r="BC14">
        <f>T13+Y13+AD13+AI13+AN13+AS13+AX13+BC13</f>
        <v>99.997472876386325</v>
      </c>
    </row>
    <row r="15" spans="1:59" x14ac:dyDescent="0.25">
      <c r="H15" s="42" t="s">
        <v>36</v>
      </c>
      <c r="I15" s="43">
        <v>0.10100000000000001</v>
      </c>
      <c r="J15" s="43">
        <v>5.0000000000000001E-3</v>
      </c>
      <c r="L15" t="s">
        <v>26</v>
      </c>
      <c r="O15"/>
      <c r="P15" s="17"/>
      <c r="Q15" s="26"/>
      <c r="R15" s="26"/>
      <c r="S15" s="26"/>
      <c r="T15" s="26"/>
      <c r="U15" s="17"/>
      <c r="Y15"/>
      <c r="Z15" s="11"/>
      <c r="AD15"/>
      <c r="AE15" s="11"/>
      <c r="AI15"/>
      <c r="AJ15" s="11"/>
      <c r="AN15"/>
      <c r="AO15" s="11"/>
      <c r="AS15"/>
      <c r="AT15" s="11"/>
      <c r="BE15" t="s">
        <v>79</v>
      </c>
    </row>
    <row r="16" spans="1:59" ht="15.75" customHeight="1" x14ac:dyDescent="0.25">
      <c r="A16" s="40" t="s">
        <v>82</v>
      </c>
      <c r="B16" s="41"/>
      <c r="C16" s="41"/>
      <c r="D16" s="41"/>
      <c r="E16" s="40"/>
      <c r="F16" s="41"/>
      <c r="G16" s="41"/>
      <c r="H16" s="42" t="s">
        <v>38</v>
      </c>
      <c r="I16" s="43">
        <v>0.13600000000000001</v>
      </c>
      <c r="J16" s="43">
        <v>2.1000000000000001E-2</v>
      </c>
      <c r="L16" t="s">
        <v>27</v>
      </c>
      <c r="O16"/>
      <c r="P16" s="17"/>
      <c r="Q16" s="26"/>
      <c r="R16" s="26"/>
      <c r="S16" s="26"/>
      <c r="T16" s="26"/>
      <c r="U16" s="17"/>
      <c r="Y16"/>
      <c r="Z16" s="11"/>
      <c r="AD16"/>
      <c r="AE16" s="11"/>
      <c r="AI16"/>
      <c r="AJ16" s="11"/>
      <c r="AN16"/>
      <c r="AO16" s="11"/>
      <c r="AS16"/>
      <c r="AT16" s="11"/>
    </row>
    <row r="17" spans="1:46" x14ac:dyDescent="0.25">
      <c r="A17" s="41"/>
      <c r="B17" s="41" t="s">
        <v>64</v>
      </c>
      <c r="C17" s="41" t="s">
        <v>65</v>
      </c>
      <c r="D17" s="41" t="s">
        <v>66</v>
      </c>
      <c r="E17" s="40" t="s">
        <v>63</v>
      </c>
      <c r="F17" s="41"/>
      <c r="G17" s="41"/>
      <c r="H17" s="42" t="s">
        <v>37</v>
      </c>
      <c r="I17" s="43">
        <v>0.186</v>
      </c>
      <c r="J17" s="43">
        <v>8.3000000000000004E-2</v>
      </c>
      <c r="L17" s="37" t="s">
        <v>59</v>
      </c>
      <c r="M17" s="1" t="s">
        <v>57</v>
      </c>
      <c r="O17"/>
      <c r="P17" s="17"/>
      <c r="Q17" s="37" t="s">
        <v>59</v>
      </c>
      <c r="R17" s="1" t="s">
        <v>57</v>
      </c>
      <c r="S17" s="26"/>
      <c r="T17" s="26"/>
      <c r="U17" s="17"/>
      <c r="V17" s="37" t="s">
        <v>59</v>
      </c>
      <c r="W17" s="1" t="s">
        <v>57</v>
      </c>
      <c r="Y17"/>
      <c r="Z17" s="11"/>
      <c r="AA17" s="37" t="s">
        <v>59</v>
      </c>
      <c r="AB17" s="1" t="s">
        <v>57</v>
      </c>
      <c r="AD17"/>
      <c r="AE17" s="11"/>
      <c r="AF17" s="37" t="s">
        <v>59</v>
      </c>
      <c r="AG17" s="1" t="s">
        <v>57</v>
      </c>
      <c r="AI17"/>
      <c r="AJ17" s="11"/>
      <c r="AK17" s="37" t="s">
        <v>59</v>
      </c>
      <c r="AL17" s="1" t="s">
        <v>57</v>
      </c>
      <c r="AN17"/>
      <c r="AO17" s="11"/>
      <c r="AP17" s="37" t="s">
        <v>59</v>
      </c>
      <c r="AQ17" s="1" t="s">
        <v>57</v>
      </c>
      <c r="AS17"/>
      <c r="AT17" s="11"/>
    </row>
    <row r="18" spans="1:46" x14ac:dyDescent="0.25">
      <c r="A18" s="40" t="s">
        <v>60</v>
      </c>
      <c r="B18" s="41" t="s">
        <v>67</v>
      </c>
      <c r="C18" s="41"/>
      <c r="D18" s="41" t="s">
        <v>70</v>
      </c>
      <c r="E18" s="40"/>
      <c r="F18" s="41" t="s">
        <v>73</v>
      </c>
      <c r="G18" s="40" t="s">
        <v>76</v>
      </c>
      <c r="H18" s="42" t="s">
        <v>39</v>
      </c>
      <c r="I18" s="43">
        <v>0.24</v>
      </c>
      <c r="J18" s="43">
        <v>0.17199999999999999</v>
      </c>
      <c r="L18">
        <v>0.3</v>
      </c>
      <c r="M18">
        <f>0.0015*1050*L18^2</f>
        <v>0.14174999999999999</v>
      </c>
      <c r="O18"/>
      <c r="P18" s="17"/>
      <c r="Q18" s="26">
        <v>0.25</v>
      </c>
      <c r="R18">
        <f>0.0015*1050*Q18^2</f>
        <v>9.8437499999999997E-2</v>
      </c>
      <c r="S18" s="26"/>
      <c r="T18" s="26"/>
      <c r="U18" s="17"/>
      <c r="V18">
        <v>0.2</v>
      </c>
      <c r="W18">
        <f>0.0015*1050*V18^2</f>
        <v>6.3000000000000014E-2</v>
      </c>
      <c r="Y18"/>
      <c r="Z18" s="11"/>
      <c r="AA18">
        <v>0.15</v>
      </c>
      <c r="AB18">
        <f>0.0015*1050*AA18^2</f>
        <v>3.5437499999999997E-2</v>
      </c>
      <c r="AD18"/>
      <c r="AE18" s="11"/>
      <c r="AI18"/>
      <c r="AJ18" s="11"/>
      <c r="AN18"/>
      <c r="AO18" s="11"/>
      <c r="AS18"/>
      <c r="AT18" s="11"/>
    </row>
    <row r="19" spans="1:46" x14ac:dyDescent="0.25">
      <c r="A19" s="40" t="s">
        <v>61</v>
      </c>
      <c r="B19" s="41" t="s">
        <v>68</v>
      </c>
      <c r="C19" s="41"/>
      <c r="D19" s="41" t="s">
        <v>71</v>
      </c>
      <c r="E19" s="40"/>
      <c r="F19" s="41" t="s">
        <v>74</v>
      </c>
      <c r="G19" s="40" t="s">
        <v>77</v>
      </c>
      <c r="H19" s="42" t="s">
        <v>40</v>
      </c>
      <c r="I19" s="43">
        <v>0.23100000000000001</v>
      </c>
      <c r="J19" s="43">
        <v>0.22500000000000001</v>
      </c>
      <c r="O19"/>
      <c r="P19" s="17"/>
      <c r="Q19" s="26"/>
      <c r="R19" s="26"/>
      <c r="S19" s="26"/>
      <c r="T19" s="26"/>
      <c r="U19" s="17"/>
      <c r="Y19"/>
      <c r="Z19" s="11"/>
      <c r="AD19"/>
      <c r="AE19" s="11"/>
      <c r="AI19"/>
      <c r="AJ19" s="11"/>
      <c r="AN19"/>
      <c r="AO19" s="11"/>
      <c r="AS19"/>
      <c r="AT19" s="11"/>
    </row>
    <row r="20" spans="1:46" x14ac:dyDescent="0.25">
      <c r="A20" s="40" t="s">
        <v>62</v>
      </c>
      <c r="B20" s="41" t="s">
        <v>69</v>
      </c>
      <c r="C20" s="41"/>
      <c r="D20" s="41" t="s">
        <v>72</v>
      </c>
      <c r="E20" s="40"/>
      <c r="F20" s="41" t="s">
        <v>75</v>
      </c>
      <c r="G20" s="40" t="s">
        <v>78</v>
      </c>
      <c r="H20" s="42" t="s">
        <v>41</v>
      </c>
      <c r="I20" s="43">
        <v>7.0999999999999994E-2</v>
      </c>
      <c r="J20" s="43">
        <v>0.11</v>
      </c>
      <c r="O20"/>
      <c r="P20" s="17"/>
      <c r="Q20" s="26"/>
      <c r="R20" s="26"/>
      <c r="S20" s="26"/>
      <c r="T20" s="26"/>
      <c r="U20" s="17"/>
      <c r="Y20"/>
      <c r="Z20" s="11"/>
      <c r="AD20"/>
      <c r="AE20" s="11"/>
      <c r="AI20"/>
      <c r="AJ20" s="11"/>
      <c r="AN20"/>
      <c r="AO20" s="11"/>
      <c r="AS20"/>
      <c r="AT20" s="11"/>
    </row>
    <row r="21" spans="1:46" x14ac:dyDescent="0.25">
      <c r="A21" s="40" t="s">
        <v>63</v>
      </c>
      <c r="B21" s="41"/>
      <c r="C21" s="41"/>
      <c r="D21" s="41"/>
      <c r="E21" s="40"/>
      <c r="F21" s="41" t="s">
        <v>79</v>
      </c>
      <c r="G21" s="40" t="s">
        <v>80</v>
      </c>
      <c r="H21" s="42" t="s">
        <v>42</v>
      </c>
      <c r="I21" s="43">
        <v>3.1E-2</v>
      </c>
      <c r="J21" s="43">
        <v>0.13600000000000001</v>
      </c>
      <c r="O21"/>
      <c r="P21" s="17"/>
      <c r="Q21" s="26"/>
      <c r="R21" s="26"/>
      <c r="S21" s="26"/>
      <c r="T21" s="26"/>
      <c r="U21" s="17"/>
      <c r="Y21"/>
      <c r="Z21" s="11"/>
      <c r="AD21"/>
      <c r="AE21" s="11"/>
      <c r="AI21"/>
      <c r="AJ21" s="11"/>
      <c r="AN21"/>
      <c r="AO21" s="11"/>
      <c r="AS21"/>
      <c r="AT21" s="11"/>
    </row>
    <row r="22" spans="1:46" x14ac:dyDescent="0.25">
      <c r="A22" s="41" t="s">
        <v>83</v>
      </c>
      <c r="B22" s="41"/>
      <c r="C22" s="41"/>
      <c r="D22" s="41"/>
      <c r="E22" s="40"/>
      <c r="F22" s="41" t="s">
        <v>81</v>
      </c>
      <c r="G22" s="41"/>
      <c r="H22" s="42" t="s">
        <v>43</v>
      </c>
      <c r="I22" s="43">
        <v>4.0000000000000001E-3</v>
      </c>
      <c r="J22" s="43">
        <v>0.14099999999999999</v>
      </c>
      <c r="O22"/>
      <c r="P22" s="17"/>
      <c r="Q22" s="26"/>
      <c r="R22" s="26"/>
      <c r="S22" s="26"/>
      <c r="T22" s="26"/>
      <c r="U22" s="17"/>
      <c r="Y22"/>
      <c r="Z22" s="11"/>
      <c r="AD22"/>
      <c r="AE22" s="11"/>
      <c r="AI22"/>
      <c r="AJ22" s="11"/>
      <c r="AN22"/>
      <c r="AO22" s="11"/>
      <c r="AS22"/>
      <c r="AT22" s="11"/>
    </row>
    <row r="23" spans="1:46" x14ac:dyDescent="0.25">
      <c r="H23" s="42" t="s">
        <v>44</v>
      </c>
      <c r="I23" s="43">
        <v>0</v>
      </c>
      <c r="J23" s="43">
        <v>0.107</v>
      </c>
      <c r="O23"/>
      <c r="P23" s="17"/>
      <c r="Q23" s="26"/>
      <c r="R23" s="26"/>
      <c r="S23" s="26"/>
      <c r="T23" s="26"/>
      <c r="U23" s="17"/>
      <c r="Y23"/>
      <c r="Z23" s="11"/>
      <c r="AD23"/>
      <c r="AE23" s="11"/>
      <c r="AI23"/>
      <c r="AJ23" s="11"/>
      <c r="AN23"/>
      <c r="AO23" s="11"/>
      <c r="AS23"/>
      <c r="AT23" s="11"/>
    </row>
    <row r="24" spans="1:46" ht="28.5" customHeight="1" x14ac:dyDescent="0.25">
      <c r="O24"/>
      <c r="P24" s="17"/>
      <c r="Q24" s="26"/>
      <c r="R24" s="26"/>
      <c r="S24" s="26"/>
      <c r="T24" s="26"/>
      <c r="U24" s="17"/>
      <c r="Y24"/>
      <c r="Z24" s="11"/>
      <c r="AD24"/>
      <c r="AE24" s="11"/>
      <c r="AI24"/>
      <c r="AJ24" s="11"/>
      <c r="AN24"/>
      <c r="AO24" s="11"/>
      <c r="AS24"/>
      <c r="AT24" s="11"/>
    </row>
    <row r="25" spans="1:46" x14ac:dyDescent="0.25">
      <c r="O25"/>
      <c r="P25" s="17"/>
      <c r="Q25" s="26"/>
      <c r="R25" s="26"/>
      <c r="S25" s="26"/>
      <c r="T25" s="26"/>
      <c r="U25" s="17"/>
      <c r="Y25"/>
      <c r="Z25" s="11"/>
      <c r="AD25"/>
      <c r="AE25" s="11"/>
      <c r="AI25"/>
      <c r="AJ25" s="11"/>
      <c r="AN25"/>
      <c r="AO25" s="11"/>
      <c r="AS25"/>
      <c r="AT25" s="11"/>
    </row>
    <row r="26" spans="1:46" x14ac:dyDescent="0.25">
      <c r="O26"/>
      <c r="P26" s="17"/>
      <c r="Q26" s="26"/>
      <c r="R26" s="26"/>
      <c r="S26" s="26"/>
      <c r="T26" s="26"/>
      <c r="U26" s="17"/>
      <c r="Y26"/>
      <c r="Z26" s="11"/>
      <c r="AD26"/>
      <c r="AE26" s="11"/>
      <c r="AI26"/>
      <c r="AJ26" s="11"/>
      <c r="AN26"/>
      <c r="AO26" s="11"/>
      <c r="AS26"/>
      <c r="AT26" s="11"/>
    </row>
    <row r="27" spans="1:46" x14ac:dyDescent="0.25">
      <c r="O27"/>
      <c r="P27" s="17"/>
      <c r="Q27" s="26"/>
      <c r="R27" s="26"/>
      <c r="S27" s="26"/>
      <c r="T27" s="26"/>
      <c r="U27" s="17"/>
      <c r="Y27"/>
      <c r="Z27" s="11"/>
      <c r="AD27"/>
      <c r="AE27" s="11"/>
      <c r="AI27"/>
      <c r="AJ27" s="11"/>
      <c r="AN27"/>
      <c r="AO27" s="11"/>
      <c r="AS27"/>
      <c r="AT27" s="11"/>
    </row>
    <row r="28" spans="1:46" x14ac:dyDescent="0.25">
      <c r="O28"/>
      <c r="P28" s="17"/>
      <c r="Q28" s="26"/>
      <c r="R28" s="26"/>
      <c r="S28" s="26"/>
      <c r="T28" s="26"/>
      <c r="U28" s="17"/>
      <c r="Y28"/>
      <c r="Z28" s="11"/>
      <c r="AD28"/>
      <c r="AE28" s="11"/>
      <c r="AI28"/>
      <c r="AJ28" s="11"/>
      <c r="AN28"/>
      <c r="AO28" s="11"/>
      <c r="AS28"/>
      <c r="AT28" s="11"/>
    </row>
    <row r="29" spans="1:46" x14ac:dyDescent="0.25">
      <c r="O29"/>
      <c r="P29" s="17"/>
      <c r="Q29" s="26"/>
      <c r="R29" s="26"/>
      <c r="S29" s="26"/>
      <c r="T29" s="26"/>
      <c r="U29" s="17"/>
      <c r="Y29"/>
      <c r="Z29" s="11"/>
      <c r="AD29"/>
      <c r="AE29" s="11"/>
      <c r="AI29"/>
      <c r="AJ29" s="11"/>
      <c r="AN29"/>
      <c r="AO29" s="11"/>
      <c r="AS29"/>
      <c r="AT29" s="11"/>
    </row>
    <row r="30" spans="1:46" x14ac:dyDescent="0.25">
      <c r="O30"/>
      <c r="P30" s="17"/>
      <c r="Q30" s="26"/>
      <c r="R30" s="26"/>
      <c r="S30" s="26"/>
      <c r="T30" s="26"/>
      <c r="U30" s="17"/>
      <c r="Y30"/>
      <c r="Z30" s="11"/>
      <c r="AD30"/>
      <c r="AE30" s="11"/>
      <c r="AI30"/>
      <c r="AJ30" s="11"/>
      <c r="AN30"/>
      <c r="AO30" s="11"/>
      <c r="AS30"/>
      <c r="AT30" s="11"/>
    </row>
    <row r="31" spans="1:46" x14ac:dyDescent="0.25">
      <c r="O31"/>
      <c r="P31" s="17"/>
      <c r="Q31" s="26"/>
      <c r="R31" s="26"/>
      <c r="S31" s="26"/>
      <c r="T31" s="26"/>
      <c r="U31" s="17"/>
      <c r="Y31"/>
      <c r="Z31" s="11"/>
      <c r="AD31"/>
      <c r="AE31" s="11"/>
      <c r="AI31"/>
      <c r="AJ31" s="11"/>
      <c r="AN31"/>
      <c r="AO31" s="11"/>
      <c r="AS31"/>
      <c r="AT31" s="11"/>
    </row>
    <row r="32" spans="1:46" x14ac:dyDescent="0.25">
      <c r="O32"/>
      <c r="P32" s="17"/>
      <c r="Q32" s="26"/>
      <c r="R32" s="26"/>
      <c r="S32" s="26"/>
      <c r="T32" s="26"/>
      <c r="U32" s="17"/>
      <c r="Y32"/>
      <c r="Z32" s="11"/>
      <c r="AD32"/>
      <c r="AE32" s="11"/>
      <c r="AI32"/>
      <c r="AJ32" s="11"/>
      <c r="AN32"/>
      <c r="AO32" s="11"/>
      <c r="AS32"/>
      <c r="AT32" s="11"/>
    </row>
    <row r="33" spans="15:46" x14ac:dyDescent="0.25">
      <c r="O33"/>
      <c r="P33" s="17"/>
      <c r="Q33" s="26"/>
      <c r="R33" s="26"/>
      <c r="S33" s="26"/>
      <c r="T33" s="26"/>
      <c r="U33" s="17"/>
      <c r="Y33"/>
      <c r="Z33" s="11"/>
      <c r="AD33"/>
      <c r="AE33" s="11"/>
      <c r="AI33"/>
      <c r="AJ33" s="11"/>
      <c r="AN33"/>
      <c r="AO33" s="11"/>
      <c r="AS33"/>
      <c r="AT33" s="11"/>
    </row>
    <row r="34" spans="15:46" x14ac:dyDescent="0.25">
      <c r="O34"/>
      <c r="P34" s="17"/>
      <c r="Q34" s="26"/>
      <c r="R34" s="26"/>
      <c r="S34" s="26"/>
      <c r="T34" s="26"/>
      <c r="U34" s="17"/>
      <c r="Y34"/>
      <c r="Z34" s="11"/>
      <c r="AD34"/>
      <c r="AE34" s="11"/>
      <c r="AI34"/>
      <c r="AJ34" s="11"/>
      <c r="AN34"/>
      <c r="AO34" s="11"/>
      <c r="AS34"/>
      <c r="AT34" s="11"/>
    </row>
  </sheetData>
  <mergeCells count="1">
    <mergeCell ref="A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4"/>
  <sheetViews>
    <sheetView workbookViewId="0">
      <selection activeCell="H26" sqref="H26"/>
    </sheetView>
  </sheetViews>
  <sheetFormatPr defaultRowHeight="15" x14ac:dyDescent="0.25"/>
  <cols>
    <col min="1" max="1" width="11.7109375" customWidth="1"/>
    <col min="2" max="2" width="8.7109375" customWidth="1"/>
    <col min="3" max="3" width="8" customWidth="1"/>
    <col min="5" max="5" width="14.140625" style="6" customWidth="1"/>
    <col min="6" max="6" width="10.85546875" customWidth="1"/>
    <col min="7" max="7" width="9" customWidth="1"/>
    <col min="8" max="8" width="9.5703125" customWidth="1"/>
    <col min="10" max="10" width="9.28515625" customWidth="1"/>
    <col min="11" max="11" width="1.42578125" style="11" customWidth="1"/>
    <col min="12" max="12" width="6.85546875" hidden="1" customWidth="1"/>
    <col min="13" max="13" width="9.28515625" hidden="1" customWidth="1"/>
    <col min="14" max="14" width="9" customWidth="1"/>
    <col min="15" max="15" width="8.7109375" style="17" customWidth="1"/>
    <col min="16" max="16" width="1.28515625" customWidth="1"/>
    <col min="17" max="17" width="6.7109375" style="25" hidden="1" customWidth="1"/>
    <col min="18" max="18" width="7.28515625" style="25" hidden="1" customWidth="1"/>
    <col min="19" max="19" width="7.85546875" style="25" customWidth="1"/>
    <col min="20" max="20" width="6.7109375" style="25" customWidth="1"/>
    <col min="21" max="21" width="1.28515625" customWidth="1"/>
    <col min="22" max="22" width="7.7109375" hidden="1" customWidth="1"/>
    <col min="23" max="23" width="5.85546875" hidden="1" customWidth="1"/>
    <col min="24" max="24" width="7.7109375" customWidth="1"/>
    <col min="25" max="25" width="7" style="11" customWidth="1"/>
    <col min="26" max="26" width="1.28515625" customWidth="1"/>
    <col min="27" max="27" width="7.28515625" hidden="1" customWidth="1"/>
    <col min="28" max="28" width="8.42578125" hidden="1" customWidth="1"/>
    <col min="29" max="29" width="10.140625" customWidth="1"/>
    <col min="30" max="30" width="8.7109375" style="11" customWidth="1"/>
    <col min="31" max="31" width="1.28515625" customWidth="1"/>
    <col min="32" max="32" width="0" hidden="1" customWidth="1"/>
    <col min="33" max="33" width="6.5703125" hidden="1" customWidth="1"/>
    <col min="34" max="34" width="7.42578125" customWidth="1"/>
    <col min="35" max="35" width="8.28515625" style="11" customWidth="1"/>
    <col min="36" max="36" width="1.28515625" customWidth="1"/>
    <col min="37" max="37" width="6.42578125" hidden="1" customWidth="1"/>
    <col min="38" max="38" width="5.85546875" hidden="1" customWidth="1"/>
    <col min="39" max="39" width="6.7109375" customWidth="1"/>
    <col min="40" max="40" width="5.85546875" style="11" customWidth="1"/>
    <col min="41" max="41" width="1.28515625" customWidth="1"/>
    <col min="42" max="42" width="7.28515625" hidden="1" customWidth="1"/>
    <col min="43" max="43" width="6" hidden="1" customWidth="1"/>
    <col min="44" max="44" width="7.85546875" customWidth="1"/>
    <col min="45" max="45" width="7" style="11" customWidth="1"/>
    <col min="46" max="46" width="1.28515625" customWidth="1"/>
    <col min="47" max="47" width="6.7109375" hidden="1" customWidth="1"/>
    <col min="48" max="48" width="6" hidden="1" customWidth="1"/>
    <col min="49" max="49" width="7.28515625" customWidth="1"/>
    <col min="50" max="50" width="12" bestFit="1" customWidth="1"/>
    <col min="51" max="51" width="1.5703125" style="11" customWidth="1"/>
    <col min="52" max="53" width="7" hidden="1" customWidth="1"/>
    <col min="54" max="54" width="9.28515625" customWidth="1"/>
    <col min="56" max="56" width="9.85546875" style="11" customWidth="1"/>
    <col min="57" max="57" width="10.5703125" customWidth="1"/>
  </cols>
  <sheetData>
    <row r="1" spans="1:59" s="25" customFormat="1" ht="21" x14ac:dyDescent="0.35">
      <c r="A1" s="38" t="s">
        <v>0</v>
      </c>
      <c r="E1" s="34"/>
      <c r="K1" s="11"/>
      <c r="O1" s="26"/>
      <c r="AY1" s="11"/>
      <c r="BD1" s="11"/>
    </row>
    <row r="2" spans="1:59" s="25" customFormat="1" x14ac:dyDescent="0.25">
      <c r="A2" s="108" t="s">
        <v>1</v>
      </c>
      <c r="B2" s="108"/>
      <c r="C2" s="108"/>
      <c r="D2" s="58"/>
      <c r="E2" s="34"/>
      <c r="K2" s="11"/>
      <c r="O2" s="26">
        <v>5.0000000000000001E-3</v>
      </c>
      <c r="T2" s="25">
        <v>2.1000000000000001E-2</v>
      </c>
      <c r="Y2" s="25">
        <v>8.3000000000000004E-2</v>
      </c>
      <c r="AD2" s="25">
        <v>0.17199999999999999</v>
      </c>
      <c r="AI2" s="25">
        <v>0.22500000000000001</v>
      </c>
      <c r="AN2" s="25">
        <v>0.11</v>
      </c>
      <c r="AS2" s="25">
        <v>0.13600000000000001</v>
      </c>
      <c r="AX2" s="25">
        <v>0.14099999999999999</v>
      </c>
      <c r="AY2" s="11"/>
      <c r="BC2" s="25">
        <v>0.107</v>
      </c>
      <c r="BD2" s="11"/>
    </row>
    <row r="3" spans="1:59" ht="45.75" customHeight="1" x14ac:dyDescent="0.4">
      <c r="A3" s="58" t="s">
        <v>2</v>
      </c>
      <c r="B3" s="3" t="s">
        <v>3</v>
      </c>
      <c r="C3" s="58" t="s">
        <v>4</v>
      </c>
      <c r="D3" s="9" t="s">
        <v>14</v>
      </c>
      <c r="E3" s="6" t="s">
        <v>9</v>
      </c>
      <c r="F3" s="36" t="s">
        <v>24</v>
      </c>
      <c r="G3" s="49" t="s">
        <v>49</v>
      </c>
      <c r="H3" s="6" t="s">
        <v>16</v>
      </c>
      <c r="I3" s="6" t="s">
        <v>15</v>
      </c>
      <c r="J3" s="6" t="s">
        <v>17</v>
      </c>
      <c r="L3" s="6" t="s">
        <v>22</v>
      </c>
      <c r="M3" s="14" t="s">
        <v>23</v>
      </c>
      <c r="N3" s="8" t="s">
        <v>25</v>
      </c>
      <c r="O3" s="36" t="s">
        <v>86</v>
      </c>
      <c r="P3" s="17"/>
      <c r="Q3" s="34" t="s">
        <v>22</v>
      </c>
      <c r="R3" s="35" t="s">
        <v>23</v>
      </c>
      <c r="S3" s="36" t="s">
        <v>25</v>
      </c>
      <c r="T3" s="36" t="s">
        <v>86</v>
      </c>
      <c r="U3" s="17"/>
      <c r="V3" s="6" t="s">
        <v>22</v>
      </c>
      <c r="W3" s="14" t="s">
        <v>23</v>
      </c>
      <c r="X3" s="8" t="s">
        <v>25</v>
      </c>
      <c r="Y3" s="36" t="s">
        <v>86</v>
      </c>
      <c r="Z3" s="11"/>
      <c r="AA3" t="s">
        <v>28</v>
      </c>
      <c r="AB3" s="14" t="s">
        <v>23</v>
      </c>
      <c r="AC3" s="8" t="s">
        <v>25</v>
      </c>
      <c r="AD3" s="36" t="s">
        <v>86</v>
      </c>
      <c r="AE3" s="11"/>
      <c r="AF3" t="s">
        <v>28</v>
      </c>
      <c r="AG3" s="14" t="s">
        <v>23</v>
      </c>
      <c r="AH3" s="8" t="s">
        <v>25</v>
      </c>
      <c r="AI3" s="36" t="s">
        <v>86</v>
      </c>
      <c r="AJ3" s="11"/>
      <c r="AK3" s="1" t="s">
        <v>28</v>
      </c>
      <c r="AL3" s="15" t="s">
        <v>29</v>
      </c>
      <c r="AM3" s="16" t="s">
        <v>25</v>
      </c>
      <c r="AN3" s="36" t="s">
        <v>86</v>
      </c>
      <c r="AO3" s="11"/>
      <c r="AP3" s="1" t="s">
        <v>28</v>
      </c>
      <c r="AQ3" s="15" t="s">
        <v>29</v>
      </c>
      <c r="AR3" s="16" t="s">
        <v>25</v>
      </c>
      <c r="AS3" s="36" t="s">
        <v>86</v>
      </c>
      <c r="AT3" s="11"/>
      <c r="AU3" s="1" t="s">
        <v>28</v>
      </c>
      <c r="AV3" s="15" t="s">
        <v>29</v>
      </c>
      <c r="AW3" s="16" t="s">
        <v>25</v>
      </c>
      <c r="AX3" s="36" t="s">
        <v>86</v>
      </c>
      <c r="AZ3" s="1" t="s">
        <v>28</v>
      </c>
      <c r="BA3" s="15" t="s">
        <v>29</v>
      </c>
      <c r="BB3" s="16" t="s">
        <v>25</v>
      </c>
      <c r="BC3" s="36" t="s">
        <v>86</v>
      </c>
      <c r="BE3" t="s">
        <v>88</v>
      </c>
      <c r="BG3" t="s">
        <v>87</v>
      </c>
    </row>
    <row r="4" spans="1:59" x14ac:dyDescent="0.25">
      <c r="A4" s="4">
        <v>1</v>
      </c>
      <c r="B4" s="5">
        <v>10</v>
      </c>
      <c r="C4" s="4"/>
      <c r="D4" s="27">
        <f>(B4*B5)^0.5</f>
        <v>11.220071301021219</v>
      </c>
      <c r="E4" s="6" t="s">
        <v>8</v>
      </c>
      <c r="F4" s="51">
        <f>0.065*1600*9.8*B4/1000000</f>
        <v>1.0192E-2</v>
      </c>
      <c r="G4" s="50">
        <v>4.5999999999999999E-2</v>
      </c>
      <c r="H4" s="10">
        <f t="shared" ref="H4:H11" si="0">1600*9.8*(D4/1000000)^2/(18*0.0014)</f>
        <v>7.8331555555555585E-5</v>
      </c>
      <c r="I4" s="7">
        <f>100*H4</f>
        <v>7.8331555555555578E-3</v>
      </c>
      <c r="J4" s="1">
        <v>1</v>
      </c>
      <c r="L4">
        <v>0.3</v>
      </c>
      <c r="M4" s="7">
        <f>1050*(0.4*L4/10.3)^2</f>
        <v>0.14252050146102363</v>
      </c>
      <c r="N4" s="52">
        <f>J4*H4*(1-M4/G4)</f>
        <v>-1.6436089179226645E-4</v>
      </c>
      <c r="O4">
        <f>N4*0.101</f>
        <v>-1.6600450071018913E-5</v>
      </c>
      <c r="P4" s="17"/>
      <c r="Q4" s="26">
        <v>0.25</v>
      </c>
      <c r="R4" s="7">
        <f>1050*(0.4*Q4/10.3)^2</f>
        <v>9.8972570459044187E-2</v>
      </c>
      <c r="S4" s="52">
        <f>J4*H4*(1-R4/G4)</f>
        <v>-9.0204866213765272E-5</v>
      </c>
      <c r="T4" s="26">
        <v>0</v>
      </c>
      <c r="U4" s="17"/>
      <c r="V4">
        <v>0.2</v>
      </c>
      <c r="W4" s="7">
        <f>1050*(0.4*V4/10.3)^2</f>
        <v>6.3342445093788308E-2</v>
      </c>
      <c r="X4" s="52">
        <f>J4*H4*(1-W4/G4)</f>
        <v>-2.9531754376809808E-5</v>
      </c>
      <c r="Y4">
        <v>0</v>
      </c>
      <c r="Z4" s="11"/>
      <c r="AA4">
        <v>0.15</v>
      </c>
      <c r="AB4" s="7">
        <f>1050*(0.4*AA4/10.3)^2</f>
        <v>3.5630125365255907E-2</v>
      </c>
      <c r="AC4" s="25">
        <f>J4*H4*(1-AB4/G4)</f>
        <v>1.765844371860008E-5</v>
      </c>
      <c r="AD4">
        <f t="shared" ref="AD4:AD9" si="1">AC4*0.172</f>
        <v>3.0372523195992136E-6</v>
      </c>
      <c r="AE4" s="11"/>
      <c r="AF4">
        <v>0.1</v>
      </c>
      <c r="AG4" s="7">
        <f>1050*(0.4*AF4/10.3)^2</f>
        <v>1.5835611273447077E-2</v>
      </c>
      <c r="AH4">
        <f>J4*H4*(1-AG4/G4)</f>
        <v>5.1365728072464243E-5</v>
      </c>
      <c r="AI4">
        <f t="shared" ref="AI4:AI5" si="2">AH4*0.225</f>
        <v>1.1557288816304455E-5</v>
      </c>
      <c r="AJ4" s="11"/>
      <c r="AK4">
        <v>7.4999999999999997E-2</v>
      </c>
      <c r="AL4" s="7">
        <f>1050*(0.4*AK4/10.3)^2</f>
        <v>8.9075313413139769E-3</v>
      </c>
      <c r="AM4">
        <f>J4*H4*(1-AL4/G4)</f>
        <v>6.3163277596316707E-5</v>
      </c>
      <c r="AN4">
        <f>AM4*0.11</f>
        <v>6.9479605355948381E-6</v>
      </c>
      <c r="AO4" s="11"/>
      <c r="AP4">
        <v>0.05</v>
      </c>
      <c r="AQ4" s="7">
        <f>1050*(0.4*AP4/10.3)^2</f>
        <v>3.9589028183617692E-3</v>
      </c>
      <c r="AR4">
        <f>J4*H4*(1-AQ4/G4)</f>
        <v>7.1590098684782755E-5</v>
      </c>
      <c r="AS4">
        <f>AR4*0.136</f>
        <v>9.7362534211304547E-6</v>
      </c>
      <c r="AT4" s="11"/>
      <c r="AU4">
        <v>2.5000000000000001E-2</v>
      </c>
      <c r="AV4" s="7">
        <f>1050*(0.4*AU4/10.3)^2</f>
        <v>9.8972570459044231E-4</v>
      </c>
      <c r="AW4">
        <f>J4*H4*(1-AV4/G4)</f>
        <v>7.6646191337862381E-5</v>
      </c>
      <c r="AX4">
        <f>AW4*0.141</f>
        <v>1.0807112978638594E-5</v>
      </c>
      <c r="AZ4">
        <v>1E-3</v>
      </c>
      <c r="BA4" s="7">
        <f>1050*(0.4*AZ4/10.3)^2</f>
        <v>1.5835611273447073E-6</v>
      </c>
      <c r="BB4" s="10">
        <f>J4*H4*(1-BA4/G4)</f>
        <v>7.8328858972807284E-5</v>
      </c>
      <c r="BC4" s="10">
        <f>BB4*0.107</f>
        <v>8.3811879100903791E-6</v>
      </c>
      <c r="BE4">
        <f>(T4+Y4+AD4+AI4+AN4+AS4+AX4+BC4)*BG4</f>
        <v>5.6624036811083606E-4</v>
      </c>
      <c r="BG4" s="47">
        <v>11.22</v>
      </c>
    </row>
    <row r="5" spans="1:59" x14ac:dyDescent="0.25">
      <c r="A5" s="4">
        <v>1.1000000000000001</v>
      </c>
      <c r="B5" s="5">
        <v>12.589</v>
      </c>
      <c r="C5" s="5">
        <v>2.589</v>
      </c>
      <c r="D5" s="27">
        <f t="shared" ref="D5:D11" si="3">(B5*B6)^0.5</f>
        <v>14.125263218786403</v>
      </c>
      <c r="E5" s="6" t="s">
        <v>5</v>
      </c>
      <c r="F5" s="51">
        <f t="shared" ref="F5:F11" si="4">0.065*1600*9.8*B5/1000000</f>
        <v>1.28307088E-2</v>
      </c>
      <c r="G5" s="50">
        <v>5.1999999999999998E-2</v>
      </c>
      <c r="H5" s="10">
        <f t="shared" si="0"/>
        <v>1.2414768240000002E-4</v>
      </c>
      <c r="I5" s="7">
        <f t="shared" ref="I5:I11" si="5">100*H5</f>
        <v>1.2414768240000002E-2</v>
      </c>
      <c r="J5" s="18">
        <v>0.56200000000000006</v>
      </c>
      <c r="L5">
        <v>0.3</v>
      </c>
      <c r="M5" s="7">
        <f t="shared" ref="M5:M11" si="6">1050*(0.4*L5/10.3)^2</f>
        <v>0.14252050146102363</v>
      </c>
      <c r="N5" s="52">
        <f t="shared" ref="N5:N11" si="7">J5*H5*(1-M5/G5)</f>
        <v>-1.2145587849870017E-4</v>
      </c>
      <c r="O5">
        <f>N5*0.101</f>
        <v>-1.2267043728368718E-5</v>
      </c>
      <c r="P5" s="17"/>
      <c r="Q5" s="26">
        <v>0.25</v>
      </c>
      <c r="R5" s="7">
        <f t="shared" ref="R5:R11" si="8">1050*(0.4*Q5/10.3)^2</f>
        <v>9.8972570459044187E-2</v>
      </c>
      <c r="S5" s="52">
        <f t="shared" ref="S5:S11" si="9">J5*H5*(1-R5/G5)</f>
        <v>-6.3025444163075108E-5</v>
      </c>
      <c r="T5" s="26">
        <v>0</v>
      </c>
      <c r="U5" s="17"/>
      <c r="V5">
        <v>0.2</v>
      </c>
      <c r="W5" s="7">
        <f t="shared" ref="W5:W11" si="10">1050*(0.4*V5/10.3)^2</f>
        <v>6.3342445093788308E-2</v>
      </c>
      <c r="X5" s="52">
        <f t="shared" ref="X5:X11" si="11">J5*H5*(1-W5/G5)</f>
        <v>-1.5218725161200099E-5</v>
      </c>
      <c r="Y5">
        <v>0</v>
      </c>
      <c r="Z5" s="11"/>
      <c r="AA5">
        <v>0.15</v>
      </c>
      <c r="AB5" s="7">
        <f t="shared" ref="AB5:AB11" si="12">1050*(0.4*AA5/10.3)^2</f>
        <v>3.5630125365255907E-2</v>
      </c>
      <c r="AC5" s="25">
        <f t="shared" ref="AC5:AC11" si="13">J5*H5*(1-AB5/G5)</f>
        <v>2.1964278506924976E-5</v>
      </c>
      <c r="AD5">
        <f t="shared" si="1"/>
        <v>3.7778559031910954E-6</v>
      </c>
      <c r="AE5" s="11"/>
      <c r="AF5">
        <v>0.1</v>
      </c>
      <c r="AG5" s="7">
        <f t="shared" ref="AG5:AG11" si="14">1050*(0.4*AF5/10.3)^2</f>
        <v>1.5835611273447077E-2</v>
      </c>
      <c r="AH5">
        <f t="shared" ref="AH5:AH11" si="15">J5*H5*(1-AG5/G5)</f>
        <v>4.8523566841299989E-5</v>
      </c>
      <c r="AI5">
        <f t="shared" si="2"/>
        <v>1.0917802539292497E-5</v>
      </c>
      <c r="AJ5" s="11"/>
      <c r="AK5">
        <v>7.4999999999999997E-2</v>
      </c>
      <c r="AL5" s="7">
        <f t="shared" ref="AL5:AL11" si="16">1050*(0.4*AK5/10.3)^2</f>
        <v>8.9075313413139769E-3</v>
      </c>
      <c r="AM5">
        <f t="shared" ref="AM5:AM11" si="17">J5*H5*(1-AL5/G5)</f>
        <v>5.7819317758331268E-5</v>
      </c>
      <c r="AN5">
        <f t="shared" ref="AN5:AN11" si="18">AM5*0.11</f>
        <v>6.3601249534164392E-6</v>
      </c>
      <c r="AO5" s="11"/>
      <c r="AP5">
        <v>0.05</v>
      </c>
      <c r="AQ5" s="7">
        <f t="shared" ref="AQ5:AQ11" si="19">1050*(0.4*AP5/10.3)^2</f>
        <v>3.9589028183617692E-3</v>
      </c>
      <c r="AR5">
        <f t="shared" ref="AR5:AR11" si="20">J5*H5*(1-AQ5/G5)</f>
        <v>6.4459139841925014E-5</v>
      </c>
      <c r="AS5">
        <f t="shared" ref="AS5:AS11" si="21">AR5*0.136</f>
        <v>8.7664430185018022E-6</v>
      </c>
      <c r="AT5" s="11"/>
      <c r="AU5">
        <v>2.5000000000000001E-2</v>
      </c>
      <c r="AV5" s="7">
        <f t="shared" ref="AV5:AV11" si="22">1050*(0.4*AU5/10.3)^2</f>
        <v>9.8972570459044231E-4</v>
      </c>
      <c r="AW5">
        <f t="shared" ref="AW5:AW11" si="23">J5*H5*(1-AV5/G5)</f>
        <v>6.8443033092081276E-5</v>
      </c>
      <c r="AX5">
        <f t="shared" ref="AX5:AX11" si="24">AW5*0.141</f>
        <v>9.6504676659834596E-6</v>
      </c>
      <c r="AZ5">
        <v>1E-3</v>
      </c>
      <c r="BA5" s="7">
        <f t="shared" ref="BA5:BA11" si="25">1050*(0.4*AZ5/10.3)^2</f>
        <v>1.5835611273447073E-6</v>
      </c>
      <c r="BB5" s="10">
        <f t="shared" ref="BB5:BB11" si="26">J5*H5*(1-BA5/G5)</f>
        <v>6.9768872765733274E-5</v>
      </c>
      <c r="BC5" s="10">
        <f t="shared" ref="BC5:BC11" si="27">BB5*0.107</f>
        <v>7.4652693859334605E-6</v>
      </c>
      <c r="BE5">
        <f t="shared" ref="BE5:BE11" si="28">(T5+Y5+AD5+AI5+AN5+AS5+AX5+BC5)*BG5</f>
        <v>6.6323342377908403E-4</v>
      </c>
      <c r="BG5" s="47">
        <v>14.13</v>
      </c>
    </row>
    <row r="6" spans="1:59" x14ac:dyDescent="0.25">
      <c r="A6" s="4">
        <v>1.2</v>
      </c>
      <c r="B6" s="5">
        <v>15.849</v>
      </c>
      <c r="C6" s="5">
        <v>3.26</v>
      </c>
      <c r="D6" s="27">
        <f t="shared" si="3"/>
        <v>17.783000224933925</v>
      </c>
      <c r="E6" s="6" t="s">
        <v>6</v>
      </c>
      <c r="F6" s="51">
        <f t="shared" si="4"/>
        <v>1.6153300799999999E-2</v>
      </c>
      <c r="G6" s="50">
        <v>5.8999999999999997E-2</v>
      </c>
      <c r="H6" s="10">
        <f t="shared" si="0"/>
        <v>1.9676850480000003E-4</v>
      </c>
      <c r="I6" s="7">
        <f t="shared" si="5"/>
        <v>1.9676850480000004E-2</v>
      </c>
      <c r="J6" s="18">
        <v>0.316</v>
      </c>
      <c r="L6">
        <v>0.3</v>
      </c>
      <c r="M6" s="7">
        <f t="shared" si="6"/>
        <v>0.14252050146102363</v>
      </c>
      <c r="N6" s="52">
        <f t="shared" si="7"/>
        <v>-8.8020483472401044E-5</v>
      </c>
      <c r="O6">
        <f t="shared" ref="O6:O11" si="29">N6*0.101</f>
        <v>-8.8900688307125068E-6</v>
      </c>
      <c r="P6" s="17"/>
      <c r="Q6" s="26">
        <v>0.25</v>
      </c>
      <c r="R6" s="7">
        <f t="shared" si="8"/>
        <v>9.8972570459044187E-2</v>
      </c>
      <c r="S6" s="52">
        <f t="shared" si="9"/>
        <v>-4.2126243447922943E-5</v>
      </c>
      <c r="T6" s="26">
        <v>0</v>
      </c>
      <c r="U6" s="17"/>
      <c r="V6">
        <v>0.2</v>
      </c>
      <c r="W6" s="7">
        <f t="shared" si="10"/>
        <v>6.3342445093788308E-2</v>
      </c>
      <c r="X6" s="52">
        <f t="shared" si="11"/>
        <v>-4.5764107006227117E-6</v>
      </c>
      <c r="Y6">
        <v>0</v>
      </c>
      <c r="Z6" s="11"/>
      <c r="AA6">
        <v>0.15</v>
      </c>
      <c r="AB6" s="7">
        <f t="shared" si="12"/>
        <v>3.5630125365255907E-2</v>
      </c>
      <c r="AC6" s="25">
        <f t="shared" si="13"/>
        <v>2.4629014769499748E-5</v>
      </c>
      <c r="AD6">
        <f t="shared" si="1"/>
        <v>4.2361905403539566E-6</v>
      </c>
      <c r="AE6" s="11"/>
      <c r="AF6">
        <v>0.1</v>
      </c>
      <c r="AG6" s="7">
        <f t="shared" si="14"/>
        <v>1.5835611273447077E-2</v>
      </c>
      <c r="AH6">
        <f t="shared" si="15"/>
        <v>4.5490032962444338E-5</v>
      </c>
      <c r="AI6">
        <f>AH6*0.225</f>
        <v>1.0235257416549976E-5</v>
      </c>
      <c r="AJ6" s="11"/>
      <c r="AK6">
        <v>7.4999999999999997E-2</v>
      </c>
      <c r="AL6" s="7">
        <f t="shared" si="16"/>
        <v>8.9075313413139769E-3</v>
      </c>
      <c r="AM6">
        <f t="shared" si="17"/>
        <v>5.2791389329974946E-5</v>
      </c>
      <c r="AN6">
        <f t="shared" si="18"/>
        <v>5.8070528262972438E-6</v>
      </c>
      <c r="AO6" s="11"/>
      <c r="AP6">
        <v>0.05</v>
      </c>
      <c r="AQ6" s="7">
        <f t="shared" si="19"/>
        <v>3.9589028183617692E-3</v>
      </c>
      <c r="AR6">
        <f t="shared" si="20"/>
        <v>5.800664387821109E-5</v>
      </c>
      <c r="AS6">
        <f t="shared" si="21"/>
        <v>7.8889035674367089E-6</v>
      </c>
      <c r="AT6" s="11"/>
      <c r="AU6">
        <v>2.5000000000000001E-2</v>
      </c>
      <c r="AV6" s="7">
        <f t="shared" si="22"/>
        <v>9.8972570459044231E-4</v>
      </c>
      <c r="AW6">
        <f t="shared" si="23"/>
        <v>6.1135796607152777E-5</v>
      </c>
      <c r="AX6">
        <f t="shared" si="24"/>
        <v>8.6201473216085414E-6</v>
      </c>
      <c r="AZ6">
        <v>1E-3</v>
      </c>
      <c r="BA6" s="7">
        <f t="shared" si="25"/>
        <v>1.5835611273447073E-6</v>
      </c>
      <c r="BB6" s="10">
        <f t="shared" si="26"/>
        <v>6.2177178635344579E-5</v>
      </c>
      <c r="BC6" s="10">
        <f t="shared" si="27"/>
        <v>6.6529581139818701E-6</v>
      </c>
      <c r="BE6">
        <f t="shared" si="28"/>
        <v>7.7237226399913929E-4</v>
      </c>
      <c r="BG6" s="47">
        <v>17.78</v>
      </c>
    </row>
    <row r="7" spans="1:59" x14ac:dyDescent="0.25">
      <c r="A7" s="4">
        <v>1.3</v>
      </c>
      <c r="B7" s="5">
        <v>19.952999999999999</v>
      </c>
      <c r="C7" s="5">
        <v>4.1040000000000001</v>
      </c>
      <c r="D7" s="27">
        <f t="shared" si="3"/>
        <v>22.387483266325404</v>
      </c>
      <c r="E7" s="6" t="s">
        <v>7</v>
      </c>
      <c r="F7" s="51">
        <f t="shared" si="4"/>
        <v>2.0336097600000002E-2</v>
      </c>
      <c r="G7" s="50">
        <v>6.6000000000000003E-2</v>
      </c>
      <c r="H7" s="10">
        <f t="shared" si="0"/>
        <v>3.118574088E-4</v>
      </c>
      <c r="I7" s="7">
        <f t="shared" si="5"/>
        <v>3.118574088E-2</v>
      </c>
      <c r="J7" s="18">
        <v>0.17799999999999999</v>
      </c>
      <c r="L7">
        <v>0.3</v>
      </c>
      <c r="M7" s="7">
        <f t="shared" si="6"/>
        <v>0.14252050146102363</v>
      </c>
      <c r="N7" s="52">
        <f t="shared" si="7"/>
        <v>-6.4359096733585414E-5</v>
      </c>
      <c r="O7">
        <f t="shared" si="29"/>
        <v>-6.500268770092127E-6</v>
      </c>
      <c r="P7" s="17"/>
      <c r="Q7" s="26">
        <v>0.25</v>
      </c>
      <c r="R7" s="7">
        <f t="shared" si="8"/>
        <v>9.8972570459044187E-2</v>
      </c>
      <c r="S7" s="52">
        <f t="shared" si="9"/>
        <v>-2.7732239219700975E-5</v>
      </c>
      <c r="T7" s="26">
        <v>0</v>
      </c>
      <c r="U7" s="17"/>
      <c r="V7">
        <v>0.2</v>
      </c>
      <c r="W7" s="7">
        <f t="shared" si="10"/>
        <v>6.3342445093788308E-2</v>
      </c>
      <c r="X7" s="52">
        <f t="shared" si="11"/>
        <v>2.2351896552953524E-6</v>
      </c>
      <c r="Y7" s="26">
        <f>X7*0.083</f>
        <v>1.8552074138951427E-7</v>
      </c>
      <c r="Z7" s="11"/>
      <c r="AA7">
        <v>0.15</v>
      </c>
      <c r="AB7" s="7">
        <f t="shared" si="12"/>
        <v>3.5630125365255907E-2</v>
      </c>
      <c r="AC7" s="25">
        <f t="shared" si="13"/>
        <v>2.5543189891403646E-5</v>
      </c>
      <c r="AD7">
        <f t="shared" si="1"/>
        <v>4.3934286613214268E-6</v>
      </c>
      <c r="AE7" s="11"/>
      <c r="AF7">
        <v>0.1</v>
      </c>
      <c r="AG7" s="7">
        <f t="shared" si="14"/>
        <v>1.5835611273447077E-2</v>
      </c>
      <c r="AH7">
        <f t="shared" si="15"/>
        <v>4.2191761488623835E-5</v>
      </c>
      <c r="AI7">
        <f t="shared" ref="AI7:AI11" si="30">AH7*0.225</f>
        <v>9.4931463349403628E-6</v>
      </c>
      <c r="AJ7" s="11"/>
      <c r="AK7">
        <v>7.4999999999999997E-2</v>
      </c>
      <c r="AL7" s="7">
        <f t="shared" si="16"/>
        <v>8.9075313413139769E-3</v>
      </c>
      <c r="AM7">
        <f t="shared" si="17"/>
        <v>4.8018761547650916E-5</v>
      </c>
      <c r="AN7">
        <f t="shared" si="18"/>
        <v>5.2820637702416003E-6</v>
      </c>
      <c r="AO7" s="11"/>
      <c r="AP7">
        <v>0.05</v>
      </c>
      <c r="AQ7" s="7">
        <f t="shared" si="19"/>
        <v>3.9589028183617692E-3</v>
      </c>
      <c r="AR7">
        <f t="shared" si="20"/>
        <v>5.2180904446955954E-5</v>
      </c>
      <c r="AS7">
        <f t="shared" si="21"/>
        <v>7.0966030047860104E-6</v>
      </c>
      <c r="AT7" s="11"/>
      <c r="AU7">
        <v>2.5000000000000001E-2</v>
      </c>
      <c r="AV7" s="7">
        <f t="shared" si="22"/>
        <v>9.8972570459044231E-4</v>
      </c>
      <c r="AW7">
        <f t="shared" si="23"/>
        <v>5.467819018653899E-5</v>
      </c>
      <c r="AX7">
        <f t="shared" si="24"/>
        <v>7.7096248163019961E-6</v>
      </c>
      <c r="AZ7">
        <v>1E-3</v>
      </c>
      <c r="BA7" s="7">
        <f t="shared" si="25"/>
        <v>1.5835611273447073E-6</v>
      </c>
      <c r="BB7" s="10">
        <f t="shared" si="26"/>
        <v>5.5509286880672219E-5</v>
      </c>
      <c r="BC7" s="10">
        <f t="shared" si="27"/>
        <v>5.9394936962319274E-6</v>
      </c>
      <c r="BE7">
        <f t="shared" si="28"/>
        <v>8.9783633615451541E-4</v>
      </c>
      <c r="BG7" s="47">
        <v>22.39</v>
      </c>
    </row>
    <row r="8" spans="1:59" x14ac:dyDescent="0.25">
      <c r="A8" s="4">
        <v>1.4</v>
      </c>
      <c r="B8" s="5">
        <v>25.119</v>
      </c>
      <c r="C8" s="5">
        <v>5.1660000000000004</v>
      </c>
      <c r="D8" s="27">
        <f t="shared" si="3"/>
        <v>28.184004985097488</v>
      </c>
      <c r="E8" s="6" t="s">
        <v>10</v>
      </c>
      <c r="F8" s="51">
        <f t="shared" si="4"/>
        <v>2.5601284800000002E-2</v>
      </c>
      <c r="G8" s="50">
        <v>7.4999999999999997E-2</v>
      </c>
      <c r="H8" s="10">
        <f t="shared" si="0"/>
        <v>4.9425484080000011E-4</v>
      </c>
      <c r="I8" s="7">
        <f t="shared" si="5"/>
        <v>4.9425484080000012E-2</v>
      </c>
      <c r="J8" s="18">
        <v>0.1</v>
      </c>
      <c r="L8">
        <v>0.3</v>
      </c>
      <c r="M8" s="7">
        <f t="shared" si="6"/>
        <v>0.14252050146102363</v>
      </c>
      <c r="N8" s="52">
        <f t="shared" si="7"/>
        <v>-4.4496446267139212E-5</v>
      </c>
      <c r="O8">
        <f t="shared" si="29"/>
        <v>-4.4941410729810605E-6</v>
      </c>
      <c r="P8" s="17"/>
      <c r="Q8" s="26">
        <v>0.25</v>
      </c>
      <c r="R8" s="7">
        <f t="shared" si="8"/>
        <v>9.8972570459044187E-2</v>
      </c>
      <c r="S8" s="52">
        <f t="shared" si="9"/>
        <v>-1.5798078661068897E-5</v>
      </c>
      <c r="T8" s="26">
        <v>0</v>
      </c>
      <c r="U8" s="17"/>
      <c r="V8">
        <v>0.2</v>
      </c>
      <c r="W8" s="7">
        <f t="shared" si="10"/>
        <v>6.3342445093788308E-2</v>
      </c>
      <c r="X8" s="52">
        <f t="shared" si="11"/>
        <v>7.6824039257158937E-6</v>
      </c>
      <c r="Y8" s="26">
        <f t="shared" ref="Y8:Y11" si="31">X8*0.083</f>
        <v>6.3763952583441921E-7</v>
      </c>
      <c r="Z8" s="11"/>
      <c r="AA8">
        <v>0.15</v>
      </c>
      <c r="AB8" s="7">
        <f t="shared" si="12"/>
        <v>3.5630125365255907E-2</v>
      </c>
      <c r="AC8" s="25">
        <f t="shared" si="13"/>
        <v>2.5945001493215206E-5</v>
      </c>
      <c r="AD8">
        <f t="shared" si="1"/>
        <v>4.4625402568330149E-6</v>
      </c>
      <c r="AE8" s="11"/>
      <c r="AF8">
        <v>0.1</v>
      </c>
      <c r="AG8" s="7">
        <f t="shared" si="14"/>
        <v>1.5835611273447077E-2</v>
      </c>
      <c r="AH8">
        <f t="shared" si="15"/>
        <v>3.898971404142898E-5</v>
      </c>
      <c r="AI8">
        <f t="shared" si="30"/>
        <v>8.7726856593215206E-6</v>
      </c>
      <c r="AJ8" s="11"/>
      <c r="AK8">
        <v>7.4999999999999997E-2</v>
      </c>
      <c r="AL8" s="7">
        <f t="shared" si="16"/>
        <v>8.9075313413139769E-3</v>
      </c>
      <c r="AM8">
        <f t="shared" si="17"/>
        <v>4.3555363433303809E-5</v>
      </c>
      <c r="AN8">
        <f t="shared" si="18"/>
        <v>4.7910899776634192E-6</v>
      </c>
      <c r="AO8" s="11"/>
      <c r="AP8">
        <v>0.05</v>
      </c>
      <c r="AQ8" s="7">
        <f t="shared" si="19"/>
        <v>3.9589028183617692E-3</v>
      </c>
      <c r="AR8">
        <f t="shared" si="20"/>
        <v>4.6816541570357252E-5</v>
      </c>
      <c r="AS8">
        <f t="shared" si="21"/>
        <v>6.3670496535685867E-6</v>
      </c>
      <c r="AT8" s="11"/>
      <c r="AU8">
        <v>2.5000000000000001E-2</v>
      </c>
      <c r="AV8" s="7">
        <f t="shared" si="22"/>
        <v>9.8972570459044231E-4</v>
      </c>
      <c r="AW8">
        <f t="shared" si="23"/>
        <v>4.8773248452589321E-5</v>
      </c>
      <c r="AX8">
        <f t="shared" si="24"/>
        <v>6.877028031815094E-6</v>
      </c>
      <c r="AZ8">
        <v>1E-3</v>
      </c>
      <c r="BA8" s="7">
        <f t="shared" si="25"/>
        <v>1.5835611273447073E-6</v>
      </c>
      <c r="BB8" s="10">
        <f t="shared" si="26"/>
        <v>4.9424440502996154E-5</v>
      </c>
      <c r="BC8" s="10">
        <f t="shared" si="27"/>
        <v>5.2884151338205884E-6</v>
      </c>
      <c r="BE8">
        <f t="shared" si="28"/>
        <v>1.0481959113709802E-3</v>
      </c>
      <c r="BG8" s="47">
        <v>28.18</v>
      </c>
    </row>
    <row r="9" spans="1:59" x14ac:dyDescent="0.25">
      <c r="A9" s="4">
        <v>1.5</v>
      </c>
      <c r="B9" s="5">
        <v>31.623000000000001</v>
      </c>
      <c r="C9" s="5">
        <v>6.5039999999999996</v>
      </c>
      <c r="D9" s="27">
        <f t="shared" si="3"/>
        <v>35.481590339216758</v>
      </c>
      <c r="E9" s="6" t="s">
        <v>11</v>
      </c>
      <c r="F9" s="51">
        <f t="shared" si="4"/>
        <v>3.2230161600000001E-2</v>
      </c>
      <c r="G9" s="50">
        <v>8.5000000000000006E-2</v>
      </c>
      <c r="H9" s="10">
        <f t="shared" si="0"/>
        <v>7.8334246853333357E-4</v>
      </c>
      <c r="I9" s="7">
        <f t="shared" si="5"/>
        <v>7.8334246853333359E-2</v>
      </c>
      <c r="J9" s="18">
        <v>5.6000000000000001E-2</v>
      </c>
      <c r="L9">
        <v>0.3</v>
      </c>
      <c r="M9" s="7">
        <f t="shared" si="6"/>
        <v>0.14252050146102363</v>
      </c>
      <c r="N9" s="52">
        <f t="shared" si="7"/>
        <v>-2.9685436352025809E-5</v>
      </c>
      <c r="O9">
        <f t="shared" si="29"/>
        <v>-2.9982290715546067E-6</v>
      </c>
      <c r="P9" s="17"/>
      <c r="Q9" s="26">
        <v>0.25</v>
      </c>
      <c r="R9" s="7">
        <f t="shared" si="8"/>
        <v>9.8972570459044187E-2</v>
      </c>
      <c r="S9" s="52">
        <f t="shared" si="9"/>
        <v>-7.2110263384475448E-6</v>
      </c>
      <c r="T9" s="26">
        <v>0</v>
      </c>
      <c r="U9" s="17"/>
      <c r="V9">
        <v>0.2</v>
      </c>
      <c r="W9" s="7">
        <f t="shared" si="10"/>
        <v>6.3342445093788308E-2</v>
      </c>
      <c r="X9" s="52">
        <f t="shared" si="11"/>
        <v>1.1177127309025558E-5</v>
      </c>
      <c r="Y9" s="26">
        <f t="shared" si="31"/>
        <v>9.2770156664912136E-7</v>
      </c>
      <c r="Z9" s="11"/>
      <c r="AA9">
        <v>0.15</v>
      </c>
      <c r="AB9" s="7">
        <f t="shared" si="12"/>
        <v>3.5630125365255907E-2</v>
      </c>
      <c r="AC9" s="25">
        <f t="shared" si="13"/>
        <v>2.5479024590393555E-5</v>
      </c>
      <c r="AD9">
        <f t="shared" si="1"/>
        <v>4.3823922295476909E-6</v>
      </c>
      <c r="AE9" s="11"/>
      <c r="AF9">
        <v>0.1</v>
      </c>
      <c r="AG9" s="7">
        <f t="shared" si="14"/>
        <v>1.5835611273447077E-2</v>
      </c>
      <c r="AH9">
        <f t="shared" si="15"/>
        <v>3.5694665505656396E-5</v>
      </c>
      <c r="AI9">
        <f t="shared" si="30"/>
        <v>8.0312997387726899E-6</v>
      </c>
      <c r="AJ9" s="11"/>
      <c r="AK9">
        <v>7.4999999999999997E-2</v>
      </c>
      <c r="AL9" s="7">
        <f t="shared" si="16"/>
        <v>8.9075313413139769E-3</v>
      </c>
      <c r="AM9">
        <f t="shared" si="17"/>
        <v>3.9270139825998397E-5</v>
      </c>
      <c r="AN9">
        <f t="shared" si="18"/>
        <v>4.3197153808598238E-6</v>
      </c>
      <c r="AO9" s="11"/>
      <c r="AP9">
        <v>0.05</v>
      </c>
      <c r="AQ9" s="7">
        <f t="shared" si="19"/>
        <v>3.9589028183617692E-3</v>
      </c>
      <c r="AR9">
        <f t="shared" si="20"/>
        <v>4.1824050054814106E-5</v>
      </c>
      <c r="AS9">
        <f t="shared" si="21"/>
        <v>5.6880708074547189E-6</v>
      </c>
      <c r="AT9" s="11"/>
      <c r="AU9">
        <v>2.5000000000000001E-2</v>
      </c>
      <c r="AV9" s="7">
        <f t="shared" si="22"/>
        <v>9.8972570459044231E-4</v>
      </c>
      <c r="AW9">
        <f t="shared" si="23"/>
        <v>4.3356396192103535E-5</v>
      </c>
      <c r="AX9">
        <f t="shared" si="24"/>
        <v>6.1132518630865981E-6</v>
      </c>
      <c r="AZ9">
        <v>1E-3</v>
      </c>
      <c r="BA9" s="7">
        <f t="shared" si="25"/>
        <v>1.5835611273447073E-6</v>
      </c>
      <c r="BB9" s="10">
        <f t="shared" si="26"/>
        <v>4.3866360986593458E-5</v>
      </c>
      <c r="BC9" s="10">
        <f t="shared" si="27"/>
        <v>4.6937006255655E-6</v>
      </c>
      <c r="BE9">
        <f t="shared" si="28"/>
        <v>1.2118595708794943E-3</v>
      </c>
      <c r="BG9" s="47">
        <v>35.479999999999997</v>
      </c>
    </row>
    <row r="10" spans="1:59" x14ac:dyDescent="0.25">
      <c r="A10" s="4">
        <v>1.6</v>
      </c>
      <c r="B10" s="5">
        <v>39.811</v>
      </c>
      <c r="C10" s="5">
        <v>8.1880000000000006</v>
      </c>
      <c r="D10" s="27">
        <f t="shared" si="3"/>
        <v>44.668641226256256</v>
      </c>
      <c r="E10" s="6" t="s">
        <v>12</v>
      </c>
      <c r="F10" s="51">
        <f t="shared" si="4"/>
        <v>4.0575371200000002E-2</v>
      </c>
      <c r="G10" s="50">
        <v>9.7000000000000003E-2</v>
      </c>
      <c r="H10" s="10">
        <f t="shared" si="0"/>
        <v>1.2415122278222224E-3</v>
      </c>
      <c r="I10" s="7">
        <f t="shared" si="5"/>
        <v>0.12415122278222224</v>
      </c>
      <c r="J10" s="18">
        <v>3.2000000000000001E-2</v>
      </c>
      <c r="L10">
        <v>0.3</v>
      </c>
      <c r="M10" s="7">
        <f t="shared" si="6"/>
        <v>0.14252050146102363</v>
      </c>
      <c r="N10" s="52">
        <f t="shared" si="7"/>
        <v>-1.8643879317265212E-5</v>
      </c>
      <c r="O10">
        <f t="shared" si="29"/>
        <v>-1.8830318110437864E-6</v>
      </c>
      <c r="P10" s="17"/>
      <c r="Q10" s="26">
        <v>0.25</v>
      </c>
      <c r="R10" s="7">
        <f t="shared" si="8"/>
        <v>9.8972570459044187E-2</v>
      </c>
      <c r="S10" s="52">
        <f t="shared" si="9"/>
        <v>-8.0790774272800391E-7</v>
      </c>
      <c r="T10" s="26">
        <v>0</v>
      </c>
      <c r="U10" s="17"/>
      <c r="V10">
        <v>0.2</v>
      </c>
      <c r="W10" s="7">
        <f t="shared" si="10"/>
        <v>6.3342445093788308E-2</v>
      </c>
      <c r="X10" s="52">
        <f t="shared" si="11"/>
        <v>1.3785159909166069E-5</v>
      </c>
      <c r="Y10" s="26">
        <f t="shared" si="31"/>
        <v>1.1441682724607839E-6</v>
      </c>
      <c r="Z10" s="11"/>
      <c r="AA10">
        <v>0.15</v>
      </c>
      <c r="AB10" s="7">
        <f t="shared" si="12"/>
        <v>3.5630125365255907E-2</v>
      </c>
      <c r="AC10" s="25">
        <f t="shared" si="13"/>
        <v>2.5135323638417033E-5</v>
      </c>
      <c r="AD10">
        <f>AC10*0.172</f>
        <v>4.3232756658077297E-6</v>
      </c>
      <c r="AE10" s="11"/>
      <c r="AF10">
        <v>0.1</v>
      </c>
      <c r="AG10" s="7">
        <f t="shared" si="14"/>
        <v>1.5835611273447077E-2</v>
      </c>
      <c r="AH10">
        <f t="shared" si="15"/>
        <v>3.3242583445024855E-5</v>
      </c>
      <c r="AI10">
        <f t="shared" si="30"/>
        <v>7.4795812751305924E-6</v>
      </c>
      <c r="AJ10" s="11"/>
      <c r="AK10">
        <v>7.4999999999999997E-2</v>
      </c>
      <c r="AL10" s="7">
        <f t="shared" si="16"/>
        <v>8.9075313413139769E-3</v>
      </c>
      <c r="AM10">
        <f t="shared" si="17"/>
        <v>3.6080124377337599E-5</v>
      </c>
      <c r="AN10">
        <f t="shared" si="18"/>
        <v>3.9688136815071356E-6</v>
      </c>
      <c r="AO10" s="11"/>
      <c r="AP10">
        <v>0.05</v>
      </c>
      <c r="AQ10" s="7">
        <f t="shared" si="19"/>
        <v>3.9589028183617692E-3</v>
      </c>
      <c r="AR10">
        <f t="shared" si="20"/>
        <v>3.8106939328989548E-5</v>
      </c>
      <c r="AS10">
        <f t="shared" si="21"/>
        <v>5.1825437487425792E-6</v>
      </c>
      <c r="AT10" s="11"/>
      <c r="AU10">
        <v>2.5000000000000001E-2</v>
      </c>
      <c r="AV10" s="7">
        <f t="shared" si="22"/>
        <v>9.8972570459044231E-4</v>
      </c>
      <c r="AW10">
        <f t="shared" si="23"/>
        <v>3.9323028299980722E-5</v>
      </c>
      <c r="AX10">
        <f t="shared" si="24"/>
        <v>5.5445469902972811E-6</v>
      </c>
      <c r="AZ10">
        <v>1E-3</v>
      </c>
      <c r="BA10" s="7">
        <f t="shared" si="25"/>
        <v>1.5835611273447073E-6</v>
      </c>
      <c r="BB10" s="10">
        <f t="shared" si="26"/>
        <v>3.9727742709526585E-5</v>
      </c>
      <c r="BC10" s="10">
        <f t="shared" si="27"/>
        <v>4.2508684699193443E-6</v>
      </c>
      <c r="BE10">
        <f t="shared" si="28"/>
        <v>1.4246959612996696E-3</v>
      </c>
      <c r="BG10" s="47">
        <v>44.67</v>
      </c>
    </row>
    <row r="11" spans="1:59" x14ac:dyDescent="0.25">
      <c r="A11" s="4">
        <v>1.7</v>
      </c>
      <c r="B11" s="5">
        <v>50.119</v>
      </c>
      <c r="C11" s="5">
        <v>10.308</v>
      </c>
      <c r="D11" s="27">
        <f t="shared" si="3"/>
        <v>56.234406051811376</v>
      </c>
      <c r="E11" s="6" t="s">
        <v>13</v>
      </c>
      <c r="F11" s="51">
        <f t="shared" si="4"/>
        <v>5.1081284800000001E-2</v>
      </c>
      <c r="G11" s="50">
        <v>0.11</v>
      </c>
      <c r="H11" s="10">
        <f t="shared" si="0"/>
        <v>1.9676585749333333E-3</v>
      </c>
      <c r="I11" s="7">
        <f t="shared" si="5"/>
        <v>0.19676585749333333</v>
      </c>
      <c r="J11" s="18">
        <v>1.7999999999999999E-2</v>
      </c>
      <c r="L11">
        <v>0.3</v>
      </c>
      <c r="M11" s="7">
        <f t="shared" si="6"/>
        <v>0.14252050146102363</v>
      </c>
      <c r="N11" s="52">
        <f t="shared" si="7"/>
        <v>-1.0470967128149751E-5</v>
      </c>
      <c r="O11">
        <f t="shared" si="29"/>
        <v>-1.0575676799431248E-6</v>
      </c>
      <c r="P11" s="17"/>
      <c r="Q11" s="26">
        <v>0.25</v>
      </c>
      <c r="R11" s="7">
        <f t="shared" si="8"/>
        <v>9.8972570459044187E-2</v>
      </c>
      <c r="S11" s="52">
        <f t="shared" si="9"/>
        <v>3.5506172120293396E-6</v>
      </c>
      <c r="T11" s="26">
        <f>S11*0.021</f>
        <v>7.456296145261614E-8</v>
      </c>
      <c r="U11" s="17"/>
      <c r="V11">
        <v>0.2</v>
      </c>
      <c r="W11" s="7">
        <f t="shared" si="10"/>
        <v>6.3342445093788308E-2</v>
      </c>
      <c r="X11" s="52">
        <f t="shared" si="11"/>
        <v>1.5022822581266768E-5</v>
      </c>
      <c r="Y11" s="26">
        <f t="shared" si="31"/>
        <v>1.2468942742451418E-6</v>
      </c>
      <c r="Z11" s="11"/>
      <c r="AA11">
        <v>0.15</v>
      </c>
      <c r="AB11" s="7">
        <f t="shared" si="12"/>
        <v>3.5630125365255907E-2</v>
      </c>
      <c r="AC11" s="25">
        <f t="shared" si="13"/>
        <v>2.3945648979562559E-5</v>
      </c>
      <c r="AD11">
        <f>AC11*0.172</f>
        <v>4.1186516244847603E-6</v>
      </c>
      <c r="AE11" s="11"/>
      <c r="AF11">
        <v>0.1</v>
      </c>
      <c r="AG11" s="7">
        <f t="shared" si="14"/>
        <v>1.5835611273447077E-2</v>
      </c>
      <c r="AH11">
        <f t="shared" si="15"/>
        <v>3.0319096406916686E-5</v>
      </c>
      <c r="AI11">
        <f t="shared" si="30"/>
        <v>6.8217966915562546E-6</v>
      </c>
      <c r="AJ11" s="11"/>
      <c r="AK11">
        <v>7.4999999999999997E-2</v>
      </c>
      <c r="AL11" s="7">
        <f t="shared" si="16"/>
        <v>8.9075313413139769E-3</v>
      </c>
      <c r="AM11">
        <f t="shared" si="17"/>
        <v>3.2549803006490637E-5</v>
      </c>
      <c r="AN11">
        <f t="shared" si="18"/>
        <v>3.5804783307139702E-6</v>
      </c>
      <c r="AO11" s="11"/>
      <c r="AP11">
        <v>0.05</v>
      </c>
      <c r="AQ11" s="7">
        <f t="shared" si="19"/>
        <v>3.9589028183617692E-3</v>
      </c>
      <c r="AR11">
        <f t="shared" si="20"/>
        <v>3.4143164863329167E-5</v>
      </c>
      <c r="AS11">
        <f t="shared" si="21"/>
        <v>4.6434704214127666E-6</v>
      </c>
      <c r="AT11" s="11"/>
      <c r="AU11">
        <v>2.5000000000000001E-2</v>
      </c>
      <c r="AV11" s="7">
        <f t="shared" si="22"/>
        <v>9.8972570459044231E-4</v>
      </c>
      <c r="AW11">
        <f t="shared" si="23"/>
        <v>3.5099181977432286E-5</v>
      </c>
      <c r="AX11">
        <f t="shared" si="24"/>
        <v>4.9489846588179522E-6</v>
      </c>
      <c r="AZ11">
        <v>1E-3</v>
      </c>
      <c r="BA11" s="7">
        <f t="shared" si="25"/>
        <v>1.5835611273447073E-6</v>
      </c>
      <c r="BB11" s="10">
        <f t="shared" si="26"/>
        <v>3.5417344473005808E-5</v>
      </c>
      <c r="BC11" s="10">
        <f t="shared" si="27"/>
        <v>3.7896558586116214E-6</v>
      </c>
      <c r="BE11">
        <f t="shared" si="28"/>
        <v>1.6432933438014225E-3</v>
      </c>
      <c r="BG11" s="47">
        <v>56.23</v>
      </c>
    </row>
    <row r="12" spans="1:59" x14ac:dyDescent="0.25">
      <c r="A12" s="4">
        <v>1.8</v>
      </c>
      <c r="B12" s="5">
        <v>63.095999999999997</v>
      </c>
      <c r="C12" s="5">
        <v>12.977</v>
      </c>
      <c r="D12" s="5" t="s">
        <v>93</v>
      </c>
      <c r="G12" s="18"/>
      <c r="I12" s="11" t="s">
        <v>18</v>
      </c>
      <c r="J12" s="11">
        <f>SUM(J4:J11)</f>
        <v>2.262</v>
      </c>
      <c r="O12" s="46">
        <v>0</v>
      </c>
      <c r="P12" s="17"/>
      <c r="Q12" s="26"/>
      <c r="R12" s="26"/>
      <c r="S12" s="26"/>
      <c r="T12" s="48">
        <f>SUM(T4:T11)</f>
        <v>7.456296145261614E-8</v>
      </c>
      <c r="U12" s="17"/>
      <c r="Y12" s="48">
        <f>SUM(Y4:Y11)</f>
        <v>4.1419243805789801E-6</v>
      </c>
      <c r="Z12" s="11"/>
      <c r="AD12" s="46">
        <f>SUM(AD4:AD11)</f>
        <v>3.2731587201138884E-5</v>
      </c>
      <c r="AE12" s="11"/>
      <c r="AI12" s="46">
        <f>SUM(AI4:AI11)</f>
        <v>7.330885847186835E-5</v>
      </c>
      <c r="AJ12" s="11"/>
      <c r="AN12" s="46">
        <f>SUM(AN4:AN11)</f>
        <v>4.1057299456294475E-5</v>
      </c>
      <c r="AO12" s="11"/>
      <c r="AS12" s="46">
        <f>SUM(AS4:AS11)</f>
        <v>5.536933764303362E-5</v>
      </c>
      <c r="AT12" s="11"/>
      <c r="AX12" s="46">
        <f>SUM(AX4:AX11)</f>
        <v>6.0271164326549519E-5</v>
      </c>
      <c r="BC12" s="46">
        <f>SUM(BC4:BC11)</f>
        <v>4.64615491941547E-5</v>
      </c>
      <c r="BD12" s="11" t="s">
        <v>89</v>
      </c>
      <c r="BE12" s="53">
        <f>SUM(BE4:BE11)</f>
        <v>8.2277271793951418E-3</v>
      </c>
    </row>
    <row r="13" spans="1:59" x14ac:dyDescent="0.25">
      <c r="B13" s="39" t="s">
        <v>94</v>
      </c>
      <c r="C13" s="39"/>
      <c r="D13" s="57">
        <f>AVERAGE(D4:D11)</f>
        <v>28.760557576681101</v>
      </c>
      <c r="F13" t="s">
        <v>52</v>
      </c>
      <c r="G13" t="s">
        <v>56</v>
      </c>
      <c r="M13" t="s">
        <v>58</v>
      </c>
      <c r="O13" s="26"/>
      <c r="P13" s="17"/>
      <c r="Q13" s="26"/>
      <c r="R13" s="26"/>
      <c r="S13" s="26"/>
      <c r="T13" s="25">
        <f>100*T12/0.0004099</f>
        <v>1.819052487255822E-2</v>
      </c>
      <c r="U13" s="17"/>
      <c r="Y13" s="25">
        <f>100*Y12/0.0004099</f>
        <v>1.0104719152424935</v>
      </c>
      <c r="Z13" s="11"/>
      <c r="AD13" s="25">
        <f>100*AD12/0.0004099</f>
        <v>7.9852615762719896</v>
      </c>
      <c r="AI13" s="25">
        <f>100*AI12/0.0004099</f>
        <v>17.884571473985936</v>
      </c>
      <c r="AJ13" s="11"/>
      <c r="AN13" s="25">
        <f>100*AN12/0.0004099</f>
        <v>10.016418506048909</v>
      </c>
      <c r="AO13" s="11"/>
      <c r="AS13" s="25">
        <f>100*AS12/0.0004099</f>
        <v>13.508011135163118</v>
      </c>
      <c r="AT13" s="25"/>
      <c r="AX13" s="25">
        <f>100*AX12/0.0004099</f>
        <v>14.703870291912544</v>
      </c>
      <c r="BB13" t="s">
        <v>92</v>
      </c>
      <c r="BC13" s="25">
        <f>100*BC12/0.0004099</f>
        <v>11.334849766810125</v>
      </c>
      <c r="BD13" s="11" t="s">
        <v>90</v>
      </c>
      <c r="BE13" s="53">
        <f>O12+T12+Y12+AD12+AI12+AN12+AS12+AX12+BC12</f>
        <v>3.1341628363507111E-4</v>
      </c>
      <c r="BF13" s="54">
        <f>BE12/BE13</f>
        <v>26.251754005784733</v>
      </c>
      <c r="BG13" t="s">
        <v>91</v>
      </c>
    </row>
    <row r="14" spans="1:59" x14ac:dyDescent="0.25">
      <c r="A14" s="1" t="s">
        <v>15</v>
      </c>
      <c r="B14" s="37" t="s">
        <v>84</v>
      </c>
      <c r="C14" s="1" t="s">
        <v>85</v>
      </c>
      <c r="D14" s="1"/>
      <c r="E14" s="37"/>
      <c r="F14" s="1"/>
      <c r="G14" s="1"/>
      <c r="H14" s="1"/>
      <c r="L14" t="s">
        <v>48</v>
      </c>
      <c r="O14"/>
      <c r="P14" s="17"/>
      <c r="Q14" s="26"/>
      <c r="R14" s="26"/>
      <c r="S14" s="26"/>
      <c r="T14" s="26"/>
      <c r="U14" s="17"/>
      <c r="Y14"/>
      <c r="Z14" s="11"/>
      <c r="AD14"/>
      <c r="AE14" s="11"/>
      <c r="AI14"/>
      <c r="AJ14" s="11"/>
      <c r="AN14"/>
      <c r="AO14" s="11"/>
      <c r="AS14"/>
      <c r="AT14" s="11"/>
      <c r="BC14">
        <f>T13+Y13+AD13+AI13+AN13+AS13+AX13+BC13</f>
        <v>76.461645190307678</v>
      </c>
    </row>
    <row r="15" spans="1:59" x14ac:dyDescent="0.25">
      <c r="A15" s="42" t="s">
        <v>36</v>
      </c>
      <c r="B15" s="43">
        <v>0.10100000000000001</v>
      </c>
      <c r="C15" s="43">
        <v>5.0000000000000001E-3</v>
      </c>
      <c r="D15" s="1"/>
      <c r="E15" s="37"/>
      <c r="F15" s="1"/>
      <c r="G15" s="1"/>
      <c r="H15" s="1"/>
      <c r="L15" t="s">
        <v>26</v>
      </c>
      <c r="O15"/>
      <c r="P15" s="17"/>
      <c r="Q15" s="26"/>
      <c r="R15" s="26"/>
      <c r="S15" s="26"/>
      <c r="T15" s="26"/>
      <c r="U15" s="17"/>
      <c r="Y15"/>
      <c r="Z15" s="11"/>
      <c r="AD15"/>
      <c r="AE15" s="11"/>
      <c r="AI15"/>
      <c r="AJ15" s="11"/>
      <c r="AN15"/>
      <c r="AO15" s="11"/>
      <c r="AS15"/>
      <c r="AT15" s="11"/>
      <c r="BE15" t="s">
        <v>79</v>
      </c>
    </row>
    <row r="16" spans="1:59" ht="15.75" customHeight="1" x14ac:dyDescent="0.25">
      <c r="A16" s="42" t="s">
        <v>38</v>
      </c>
      <c r="B16" s="43">
        <v>0.13600000000000001</v>
      </c>
      <c r="C16" s="43">
        <v>2.1000000000000001E-2</v>
      </c>
      <c r="D16" s="1"/>
      <c r="E16" s="37"/>
      <c r="F16" s="1"/>
      <c r="G16" s="1"/>
      <c r="H16" s="1"/>
      <c r="L16" t="s">
        <v>27</v>
      </c>
      <c r="O16"/>
      <c r="P16" s="17"/>
      <c r="Q16" s="26"/>
      <c r="R16" s="26"/>
      <c r="S16" s="26"/>
      <c r="T16" s="26"/>
      <c r="U16" s="17"/>
      <c r="Y16"/>
      <c r="Z16" s="11"/>
      <c r="AD16"/>
      <c r="AE16" s="11"/>
      <c r="AI16"/>
      <c r="AJ16" s="11"/>
      <c r="AN16"/>
      <c r="AO16" s="11"/>
      <c r="AS16"/>
      <c r="AT16" s="11"/>
    </row>
    <row r="17" spans="1:46" x14ac:dyDescent="0.25">
      <c r="A17" s="42" t="s">
        <v>37</v>
      </c>
      <c r="B17" s="43">
        <v>0.186</v>
      </c>
      <c r="C17" s="43">
        <v>8.3000000000000004E-2</v>
      </c>
      <c r="D17" s="1"/>
      <c r="E17" s="37"/>
      <c r="F17" s="1"/>
      <c r="G17" s="1"/>
      <c r="H17" s="1"/>
      <c r="L17" s="37" t="s">
        <v>59</v>
      </c>
      <c r="M17" s="1" t="s">
        <v>57</v>
      </c>
      <c r="O17"/>
      <c r="P17" s="17"/>
      <c r="Q17" s="37" t="s">
        <v>59</v>
      </c>
      <c r="R17" s="1" t="s">
        <v>57</v>
      </c>
      <c r="S17" s="26"/>
      <c r="T17" s="26"/>
      <c r="U17" s="17"/>
      <c r="V17" s="37" t="s">
        <v>59</v>
      </c>
      <c r="W17" s="1" t="s">
        <v>57</v>
      </c>
      <c r="Y17"/>
      <c r="Z17" s="11"/>
      <c r="AA17" s="37" t="s">
        <v>59</v>
      </c>
      <c r="AB17" s="1" t="s">
        <v>57</v>
      </c>
      <c r="AD17"/>
      <c r="AE17" s="11"/>
      <c r="AF17" s="37" t="s">
        <v>59</v>
      </c>
      <c r="AG17" s="1" t="s">
        <v>57</v>
      </c>
      <c r="AI17"/>
      <c r="AJ17" s="11"/>
      <c r="AK17" s="37" t="s">
        <v>59</v>
      </c>
      <c r="AL17" s="1" t="s">
        <v>57</v>
      </c>
      <c r="AN17"/>
      <c r="AO17" s="11"/>
      <c r="AP17" s="37" t="s">
        <v>59</v>
      </c>
      <c r="AQ17" s="1" t="s">
        <v>57</v>
      </c>
      <c r="AS17"/>
      <c r="AT17" s="11"/>
    </row>
    <row r="18" spans="1:46" x14ac:dyDescent="0.25">
      <c r="A18" s="42" t="s">
        <v>39</v>
      </c>
      <c r="B18" s="43">
        <v>0.24</v>
      </c>
      <c r="C18" s="43">
        <v>0.17199999999999999</v>
      </c>
      <c r="D18" s="1"/>
      <c r="E18" s="37"/>
      <c r="F18" s="1"/>
      <c r="G18" s="37"/>
      <c r="H18" s="1"/>
      <c r="L18">
        <v>0.3</v>
      </c>
      <c r="M18">
        <f>0.0015*1050*L18^2</f>
        <v>0.14174999999999999</v>
      </c>
      <c r="O18"/>
      <c r="P18" s="17"/>
      <c r="Q18" s="26">
        <v>0.25</v>
      </c>
      <c r="R18">
        <f>0.0015*1050*Q18^2</f>
        <v>9.8437499999999997E-2</v>
      </c>
      <c r="S18" s="26"/>
      <c r="T18" s="26"/>
      <c r="U18" s="17"/>
      <c r="V18">
        <v>0.2</v>
      </c>
      <c r="W18">
        <f>0.0015*1050*V18^2</f>
        <v>6.3000000000000014E-2</v>
      </c>
      <c r="Y18"/>
      <c r="Z18" s="11"/>
      <c r="AA18">
        <v>0.15</v>
      </c>
      <c r="AB18">
        <f>0.0015*1050*AA18^2</f>
        <v>3.5437499999999997E-2</v>
      </c>
      <c r="AD18"/>
      <c r="AE18" s="11"/>
      <c r="AI18"/>
      <c r="AJ18" s="11"/>
      <c r="AN18"/>
      <c r="AO18" s="11"/>
      <c r="AS18"/>
      <c r="AT18" s="11"/>
    </row>
    <row r="19" spans="1:46" x14ac:dyDescent="0.25">
      <c r="A19" s="42" t="s">
        <v>40</v>
      </c>
      <c r="B19" s="43">
        <v>0.23100000000000001</v>
      </c>
      <c r="C19" s="43">
        <v>0.22500000000000001</v>
      </c>
      <c r="D19" s="1"/>
      <c r="E19" s="37"/>
      <c r="F19" s="1"/>
      <c r="G19" s="37"/>
      <c r="H19" s="1"/>
      <c r="O19"/>
      <c r="P19" s="17"/>
      <c r="Q19" s="26"/>
      <c r="R19" s="26"/>
      <c r="S19" s="26"/>
      <c r="T19" s="26"/>
      <c r="U19" s="17"/>
      <c r="Y19"/>
      <c r="Z19" s="11"/>
      <c r="AD19"/>
      <c r="AE19" s="11"/>
      <c r="AI19"/>
      <c r="AJ19" s="11"/>
      <c r="AN19"/>
      <c r="AO19" s="11"/>
      <c r="AS19"/>
      <c r="AT19" s="11"/>
    </row>
    <row r="20" spans="1:46" x14ac:dyDescent="0.25">
      <c r="A20" s="42" t="s">
        <v>41</v>
      </c>
      <c r="B20" s="43">
        <v>7.0999999999999994E-2</v>
      </c>
      <c r="C20" s="43">
        <v>0.11</v>
      </c>
      <c r="D20" s="1"/>
      <c r="E20" s="37"/>
      <c r="F20" s="1"/>
      <c r="G20" s="37"/>
      <c r="H20" s="1"/>
      <c r="O20"/>
      <c r="P20" s="17"/>
      <c r="Q20" s="26"/>
      <c r="R20" s="26"/>
      <c r="S20" s="26"/>
      <c r="T20" s="26"/>
      <c r="U20" s="17"/>
      <c r="Y20"/>
      <c r="Z20" s="11"/>
      <c r="AD20"/>
      <c r="AE20" s="11"/>
      <c r="AI20"/>
      <c r="AJ20" s="11"/>
      <c r="AN20"/>
      <c r="AO20" s="11"/>
      <c r="AS20"/>
      <c r="AT20" s="11"/>
    </row>
    <row r="21" spans="1:46" x14ac:dyDescent="0.25">
      <c r="A21" s="42" t="s">
        <v>42</v>
      </c>
      <c r="B21" s="43">
        <v>3.1E-2</v>
      </c>
      <c r="C21" s="43">
        <v>0.13600000000000001</v>
      </c>
      <c r="D21" s="1"/>
      <c r="E21" s="37"/>
      <c r="F21" s="1"/>
      <c r="G21" s="37"/>
      <c r="H21" s="1"/>
      <c r="O21"/>
      <c r="P21" s="17"/>
      <c r="Q21" s="26"/>
      <c r="R21" s="26"/>
      <c r="S21" s="26"/>
      <c r="T21" s="26"/>
      <c r="U21" s="17"/>
      <c r="Y21"/>
      <c r="Z21" s="11"/>
      <c r="AD21"/>
      <c r="AE21" s="11"/>
      <c r="AI21"/>
      <c r="AJ21" s="11"/>
      <c r="AN21"/>
      <c r="AO21" s="11"/>
      <c r="AS21"/>
      <c r="AT21" s="11"/>
    </row>
    <row r="22" spans="1:46" x14ac:dyDescent="0.25">
      <c r="A22" s="42" t="s">
        <v>43</v>
      </c>
      <c r="B22" s="43">
        <v>4.0000000000000001E-3</v>
      </c>
      <c r="C22" s="43">
        <v>0.14099999999999999</v>
      </c>
      <c r="D22" s="1"/>
      <c r="E22" s="37"/>
      <c r="F22" s="1"/>
      <c r="G22" s="1"/>
      <c r="H22" s="1"/>
      <c r="O22"/>
      <c r="P22" s="17"/>
      <c r="Q22" s="26"/>
      <c r="R22" s="26"/>
      <c r="S22" s="26"/>
      <c r="T22" s="26"/>
      <c r="U22" s="17"/>
      <c r="Y22"/>
      <c r="Z22" s="11"/>
      <c r="AD22"/>
      <c r="AE22" s="11"/>
      <c r="AI22"/>
      <c r="AJ22" s="11"/>
      <c r="AN22"/>
      <c r="AO22" s="11"/>
      <c r="AS22"/>
      <c r="AT22" s="11"/>
    </row>
    <row r="23" spans="1:46" x14ac:dyDescent="0.25">
      <c r="A23" s="42" t="s">
        <v>44</v>
      </c>
      <c r="B23" s="43">
        <v>0</v>
      </c>
      <c r="C23" s="43">
        <v>0.107</v>
      </c>
      <c r="D23" s="1"/>
      <c r="E23" s="37"/>
      <c r="F23" s="1"/>
      <c r="G23" s="1"/>
      <c r="H23" s="1"/>
      <c r="O23"/>
      <c r="P23" s="17"/>
      <c r="Q23" s="26"/>
      <c r="R23" s="26"/>
      <c r="S23" s="26"/>
      <c r="T23" s="26"/>
      <c r="U23" s="17"/>
      <c r="Y23"/>
      <c r="Z23" s="11"/>
      <c r="AD23"/>
      <c r="AE23" s="11"/>
      <c r="AI23"/>
      <c r="AJ23" s="11"/>
      <c r="AN23"/>
      <c r="AO23" s="11"/>
      <c r="AS23"/>
      <c r="AT23" s="11"/>
    </row>
    <row r="24" spans="1:46" ht="15.75" customHeight="1" x14ac:dyDescent="0.25">
      <c r="A24" s="1"/>
      <c r="B24" s="1"/>
      <c r="C24" s="1"/>
      <c r="D24" s="1"/>
      <c r="E24" s="37"/>
      <c r="F24" s="1"/>
      <c r="G24" s="1"/>
      <c r="H24" s="1"/>
      <c r="O24"/>
      <c r="P24" s="17"/>
      <c r="Q24" s="26"/>
      <c r="R24" s="26"/>
      <c r="S24" s="26"/>
      <c r="T24" s="26"/>
      <c r="U24" s="17"/>
      <c r="Y24"/>
      <c r="Z24" s="11"/>
      <c r="AD24"/>
      <c r="AE24" s="11"/>
      <c r="AI24"/>
      <c r="AJ24" s="11"/>
      <c r="AN24"/>
      <c r="AO24" s="11"/>
      <c r="AS24"/>
      <c r="AT24" s="11"/>
    </row>
    <row r="25" spans="1:46" ht="31.5" x14ac:dyDescent="0.35">
      <c r="A25" s="42" t="s">
        <v>2</v>
      </c>
      <c r="B25" s="78" t="s">
        <v>3</v>
      </c>
      <c r="C25" s="42" t="s">
        <v>4</v>
      </c>
      <c r="D25" s="79" t="s">
        <v>14</v>
      </c>
      <c r="E25" s="37" t="s">
        <v>9</v>
      </c>
      <c r="F25" s="61" t="s">
        <v>96</v>
      </c>
      <c r="G25" s="61"/>
      <c r="H25" s="76" t="s">
        <v>110</v>
      </c>
      <c r="O25"/>
      <c r="P25" s="17"/>
      <c r="Q25" s="26"/>
      <c r="R25" s="26"/>
      <c r="S25" s="26"/>
      <c r="T25" s="26"/>
      <c r="U25" s="17"/>
      <c r="Y25"/>
      <c r="Z25" s="11"/>
      <c r="AD25"/>
      <c r="AE25" s="11"/>
      <c r="AI25"/>
      <c r="AJ25" s="11"/>
      <c r="AN25"/>
      <c r="AO25" s="11"/>
      <c r="AS25"/>
      <c r="AT25" s="11"/>
    </row>
    <row r="26" spans="1:46" x14ac:dyDescent="0.25">
      <c r="A26" s="1">
        <v>1</v>
      </c>
      <c r="B26" s="18">
        <v>10</v>
      </c>
      <c r="C26" s="1"/>
      <c r="D26" s="47">
        <v>11.22</v>
      </c>
      <c r="E26" s="37" t="s">
        <v>8</v>
      </c>
      <c r="F26" s="61">
        <v>1</v>
      </c>
      <c r="G26" s="76">
        <v>421.7</v>
      </c>
      <c r="H26" s="1">
        <v>1</v>
      </c>
      <c r="O26"/>
      <c r="P26" s="17"/>
      <c r="Q26" s="26"/>
      <c r="R26" s="26"/>
      <c r="S26" s="26"/>
      <c r="T26" s="26"/>
      <c r="U26" s="17"/>
      <c r="Y26"/>
      <c r="Z26" s="11"/>
      <c r="AD26"/>
      <c r="AE26" s="11"/>
      <c r="AI26"/>
      <c r="AJ26" s="11"/>
      <c r="AN26"/>
      <c r="AO26" s="11"/>
      <c r="AS26"/>
      <c r="AT26" s="11"/>
    </row>
    <row r="27" spans="1:46" x14ac:dyDescent="0.25">
      <c r="A27" s="1">
        <v>1.1000000000000001</v>
      </c>
      <c r="B27" s="18">
        <v>12.589</v>
      </c>
      <c r="C27" s="18">
        <v>2.589</v>
      </c>
      <c r="D27" s="47">
        <v>14.13</v>
      </c>
      <c r="E27" s="37" t="s">
        <v>5</v>
      </c>
      <c r="F27" s="43">
        <v>0.56200000000000006</v>
      </c>
      <c r="G27" s="1"/>
      <c r="H27" s="18">
        <v>0.56200000000000006</v>
      </c>
      <c r="O27"/>
      <c r="P27" s="17"/>
      <c r="Q27" s="26"/>
      <c r="R27" s="26"/>
      <c r="S27" s="26"/>
      <c r="T27" s="26"/>
      <c r="U27" s="17"/>
      <c r="Y27"/>
      <c r="Z27" s="11"/>
      <c r="AD27"/>
      <c r="AE27" s="11"/>
      <c r="AI27"/>
      <c r="AJ27" s="11"/>
      <c r="AN27"/>
      <c r="AO27" s="11"/>
      <c r="AS27"/>
      <c r="AT27" s="11"/>
    </row>
    <row r="28" spans="1:46" x14ac:dyDescent="0.25">
      <c r="A28" s="1">
        <v>1.2</v>
      </c>
      <c r="B28" s="18">
        <v>15.849</v>
      </c>
      <c r="C28" s="18">
        <v>3.26</v>
      </c>
      <c r="D28" s="47">
        <v>17.78</v>
      </c>
      <c r="E28" s="37" t="s">
        <v>6</v>
      </c>
      <c r="F28" s="43">
        <v>0.316</v>
      </c>
      <c r="G28" s="1"/>
      <c r="H28" s="18">
        <v>0.316</v>
      </c>
      <c r="O28"/>
      <c r="P28" s="17"/>
      <c r="Q28" s="26"/>
      <c r="R28" s="26"/>
      <c r="S28" s="26"/>
      <c r="T28" s="26"/>
      <c r="U28" s="17"/>
      <c r="Y28"/>
      <c r="Z28" s="11"/>
      <c r="AD28"/>
      <c r="AE28" s="11"/>
      <c r="AI28"/>
      <c r="AJ28" s="11"/>
      <c r="AN28"/>
      <c r="AO28" s="11"/>
      <c r="AS28"/>
      <c r="AT28" s="11"/>
    </row>
    <row r="29" spans="1:46" x14ac:dyDescent="0.25">
      <c r="A29" s="1">
        <v>1.3</v>
      </c>
      <c r="B29" s="18">
        <v>19.952999999999999</v>
      </c>
      <c r="C29" s="18">
        <v>4.1040000000000001</v>
      </c>
      <c r="D29" s="47">
        <v>22.39</v>
      </c>
      <c r="E29" s="37" t="s">
        <v>7</v>
      </c>
      <c r="F29" s="43">
        <v>0.17799999999999999</v>
      </c>
      <c r="G29" s="1"/>
      <c r="H29" s="18">
        <v>0.17799999999999999</v>
      </c>
      <c r="O29"/>
      <c r="P29" s="17"/>
      <c r="Q29" s="26"/>
      <c r="R29" s="26"/>
      <c r="S29" s="26"/>
      <c r="T29" s="26"/>
      <c r="U29" s="17"/>
      <c r="Y29"/>
      <c r="Z29" s="11"/>
      <c r="AD29"/>
      <c r="AE29" s="11"/>
      <c r="AI29"/>
      <c r="AJ29" s="11"/>
      <c r="AN29"/>
      <c r="AO29" s="11"/>
      <c r="AS29"/>
      <c r="AT29" s="11"/>
    </row>
    <row r="30" spans="1:46" x14ac:dyDescent="0.25">
      <c r="A30" s="1">
        <v>1.4</v>
      </c>
      <c r="B30" s="18">
        <v>25.119</v>
      </c>
      <c r="C30" s="18">
        <v>5.1660000000000004</v>
      </c>
      <c r="D30" s="47">
        <v>28.18</v>
      </c>
      <c r="E30" s="37" t="s">
        <v>10</v>
      </c>
      <c r="F30" s="43">
        <v>0.1</v>
      </c>
      <c r="G30" s="1"/>
      <c r="H30" s="18">
        <v>0.1</v>
      </c>
      <c r="O30"/>
      <c r="P30" s="17"/>
      <c r="Q30" s="26"/>
      <c r="R30" s="26"/>
      <c r="S30" s="26"/>
      <c r="T30" s="26"/>
      <c r="U30" s="17"/>
      <c r="Y30"/>
      <c r="Z30" s="11"/>
      <c r="AD30"/>
      <c r="AE30" s="11"/>
      <c r="AI30"/>
      <c r="AJ30" s="11"/>
      <c r="AN30"/>
      <c r="AO30" s="11"/>
      <c r="AS30"/>
      <c r="AT30" s="11"/>
    </row>
    <row r="31" spans="1:46" x14ac:dyDescent="0.25">
      <c r="A31" s="1">
        <v>1.5</v>
      </c>
      <c r="B31" s="18">
        <v>31.623000000000001</v>
      </c>
      <c r="C31" s="18">
        <v>6.5039999999999996</v>
      </c>
      <c r="D31" s="47">
        <v>35.479999999999997</v>
      </c>
      <c r="E31" s="37" t="s">
        <v>11</v>
      </c>
      <c r="F31" s="43">
        <v>5.6000000000000001E-2</v>
      </c>
      <c r="G31" s="1"/>
      <c r="H31" s="18">
        <v>5.6000000000000001E-2</v>
      </c>
      <c r="O31"/>
      <c r="P31" s="17"/>
      <c r="Q31" s="26"/>
      <c r="R31" s="26"/>
      <c r="S31" s="26"/>
      <c r="T31" s="26"/>
      <c r="U31" s="17"/>
      <c r="Y31"/>
      <c r="Z31" s="11"/>
      <c r="AD31"/>
      <c r="AE31" s="11"/>
      <c r="AI31"/>
      <c r="AJ31" s="11"/>
      <c r="AN31"/>
      <c r="AO31" s="11"/>
      <c r="AS31"/>
      <c r="AT31" s="11"/>
    </row>
    <row r="32" spans="1:46" x14ac:dyDescent="0.25">
      <c r="A32" s="1">
        <v>1.6</v>
      </c>
      <c r="B32" s="18">
        <v>39.811</v>
      </c>
      <c r="C32" s="18">
        <v>8.1880000000000006</v>
      </c>
      <c r="D32" s="47">
        <v>44.67</v>
      </c>
      <c r="E32" s="37" t="s">
        <v>12</v>
      </c>
      <c r="F32" s="43">
        <v>3.2000000000000001E-2</v>
      </c>
      <c r="G32" s="1"/>
      <c r="H32" s="18">
        <v>3.2000000000000001E-2</v>
      </c>
      <c r="O32"/>
      <c r="P32" s="17"/>
      <c r="Q32" s="26"/>
      <c r="R32" s="26"/>
      <c r="S32" s="26"/>
      <c r="T32" s="26"/>
      <c r="U32" s="17"/>
      <c r="Y32"/>
      <c r="Z32" s="11"/>
      <c r="AD32"/>
      <c r="AE32" s="11"/>
      <c r="AI32"/>
      <c r="AJ32" s="11"/>
      <c r="AN32"/>
      <c r="AO32" s="11"/>
      <c r="AS32"/>
      <c r="AT32" s="11"/>
    </row>
    <row r="33" spans="1:46" x14ac:dyDescent="0.25">
      <c r="A33" s="1">
        <v>1.7</v>
      </c>
      <c r="B33" s="18">
        <v>50.119</v>
      </c>
      <c r="C33" s="18">
        <v>10.308</v>
      </c>
      <c r="D33" s="47">
        <v>56.23</v>
      </c>
      <c r="E33" s="37" t="s">
        <v>13</v>
      </c>
      <c r="F33" s="43">
        <v>1.7999999999999999E-2</v>
      </c>
      <c r="G33" s="1"/>
      <c r="H33" s="18">
        <v>1.7999999999999999E-2</v>
      </c>
      <c r="O33"/>
      <c r="P33" s="17"/>
      <c r="Q33" s="26"/>
      <c r="R33" s="26"/>
      <c r="S33" s="26"/>
      <c r="T33" s="26"/>
      <c r="U33" s="17"/>
      <c r="Y33"/>
      <c r="Z33" s="11"/>
      <c r="AD33"/>
      <c r="AE33" s="11"/>
      <c r="AI33"/>
      <c r="AJ33" s="11"/>
      <c r="AN33"/>
      <c r="AO33" s="11"/>
      <c r="AS33"/>
      <c r="AT33" s="11"/>
    </row>
    <row r="34" spans="1:46" x14ac:dyDescent="0.25">
      <c r="A34" s="1">
        <v>1.8</v>
      </c>
      <c r="B34" s="18">
        <v>63.095999999999997</v>
      </c>
      <c r="C34" s="18">
        <v>12.977</v>
      </c>
      <c r="D34" s="18"/>
      <c r="E34" s="37"/>
      <c r="F34" s="1"/>
      <c r="G34" s="1"/>
      <c r="H34" s="1"/>
      <c r="O34"/>
      <c r="P34" s="17"/>
      <c r="Q34" s="26"/>
      <c r="R34" s="26"/>
      <c r="S34" s="26"/>
      <c r="T34" s="26"/>
      <c r="U34" s="17"/>
      <c r="Y34"/>
      <c r="Z34" s="11"/>
      <c r="AD34"/>
      <c r="AE34" s="11"/>
      <c r="AI34"/>
      <c r="AJ34" s="11"/>
      <c r="AN34"/>
      <c r="AO34" s="11"/>
      <c r="AS34"/>
      <c r="AT34" s="11"/>
    </row>
  </sheetData>
  <mergeCells count="1"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0"/>
  <sheetViews>
    <sheetView tabSelected="1" workbookViewId="0">
      <selection activeCell="E1" sqref="E1"/>
    </sheetView>
  </sheetViews>
  <sheetFormatPr defaultRowHeight="15" x14ac:dyDescent="0.25"/>
  <cols>
    <col min="1" max="1" width="8.5703125" customWidth="1"/>
    <col min="2" max="2" width="8.140625" customWidth="1"/>
    <col min="3" max="3" width="9.140625" customWidth="1"/>
    <col min="4" max="4" width="8.28515625" customWidth="1"/>
    <col min="5" max="5" width="14.140625" style="6" customWidth="1"/>
    <col min="6" max="6" width="9.5703125" customWidth="1"/>
    <col min="7" max="8" width="9" customWidth="1"/>
    <col min="9" max="9" width="9.5703125" customWidth="1"/>
    <col min="10" max="10" width="7.85546875" customWidth="1"/>
    <col min="11" max="11" width="2.5703125" style="25" customWidth="1"/>
    <col min="12" max="12" width="7" customWidth="1"/>
    <col min="13" max="13" width="7.7109375" customWidth="1"/>
    <col min="14" max="14" width="8.5703125" customWidth="1"/>
    <col min="15" max="15" width="7.7109375" customWidth="1"/>
    <col min="16" max="16" width="1.7109375" style="11" customWidth="1"/>
    <col min="17" max="17" width="8.140625" customWidth="1"/>
    <col min="18" max="18" width="8" customWidth="1"/>
    <col min="19" max="19" width="8.42578125" customWidth="1"/>
    <col min="20" max="20" width="9.140625" customWidth="1"/>
    <col min="21" max="21" width="1.7109375" style="11" customWidth="1"/>
    <col min="22" max="22" width="6.7109375" customWidth="1"/>
    <col min="23" max="23" width="9.140625" customWidth="1"/>
    <col min="24" max="24" width="6.5703125" customWidth="1"/>
    <col min="25" max="25" width="8.85546875" customWidth="1"/>
    <col min="26" max="26" width="1.7109375" style="11" customWidth="1"/>
    <col min="27" max="27" width="8.42578125" customWidth="1"/>
    <col min="28" max="28" width="7.85546875" customWidth="1"/>
    <col min="29" max="29" width="6.7109375" customWidth="1"/>
    <col min="30" max="30" width="9.140625" customWidth="1"/>
    <col min="31" max="31" width="1.7109375" style="11" customWidth="1"/>
    <col min="32" max="32" width="7.85546875" customWidth="1"/>
    <col min="33" max="33" width="7.28515625" customWidth="1"/>
    <col min="34" max="34" width="6" customWidth="1"/>
    <col min="35" max="35" width="7.85546875" customWidth="1"/>
    <col min="36" max="36" width="1.7109375" style="11" customWidth="1"/>
    <col min="37" max="37" width="6.140625" customWidth="1"/>
    <col min="38" max="38" width="7.7109375" customWidth="1"/>
    <col min="39" max="39" width="6" customWidth="1"/>
    <col min="40" max="40" width="8" customWidth="1"/>
    <col min="41" max="41" width="1.7109375" customWidth="1"/>
    <col min="42" max="42" width="7.5703125" style="11" customWidth="1"/>
    <col min="43" max="43" width="8" customWidth="1"/>
    <col min="44" max="44" width="9" customWidth="1"/>
    <col min="45" max="45" width="10" customWidth="1"/>
    <col min="46" max="46" width="1.5703125" customWidth="1"/>
    <col min="47" max="47" width="10.140625" style="11" customWidth="1"/>
    <col min="48" max="48" width="10.5703125" customWidth="1"/>
    <col min="49" max="49" width="7.28515625" customWidth="1"/>
  </cols>
  <sheetData>
    <row r="1" spans="1:50" s="25" customFormat="1" ht="21" x14ac:dyDescent="0.35">
      <c r="A1" s="38" t="s">
        <v>0</v>
      </c>
      <c r="E1" s="34"/>
      <c r="K1" s="113"/>
      <c r="P1" s="87"/>
      <c r="U1" s="87"/>
      <c r="Z1" s="87"/>
      <c r="AE1" s="87"/>
      <c r="AJ1" s="87"/>
      <c r="AO1" s="87"/>
      <c r="AT1" s="87"/>
    </row>
    <row r="2" spans="1:50" s="25" customFormat="1" x14ac:dyDescent="0.25">
      <c r="A2" s="109" t="s">
        <v>132</v>
      </c>
      <c r="B2" s="109"/>
      <c r="C2" s="109"/>
      <c r="D2" s="31"/>
      <c r="E2" s="34"/>
      <c r="K2" s="113"/>
      <c r="L2" s="25" t="s">
        <v>28</v>
      </c>
      <c r="M2" s="25" t="s">
        <v>37</v>
      </c>
      <c r="N2" s="25">
        <v>0.186</v>
      </c>
      <c r="O2" s="25" t="s">
        <v>150</v>
      </c>
      <c r="P2" s="87"/>
      <c r="Q2" s="25" t="s">
        <v>28</v>
      </c>
      <c r="R2" s="25" t="s">
        <v>39</v>
      </c>
      <c r="S2" s="25">
        <v>0.24</v>
      </c>
      <c r="T2" s="25" t="s">
        <v>150</v>
      </c>
      <c r="U2" s="87"/>
      <c r="V2" s="25" t="s">
        <v>28</v>
      </c>
      <c r="W2" s="25" t="s">
        <v>40</v>
      </c>
      <c r="X2" s="25">
        <v>0.23100000000000001</v>
      </c>
      <c r="Y2" s="25" t="s">
        <v>150</v>
      </c>
      <c r="Z2" s="87"/>
      <c r="AA2" s="1" t="s">
        <v>28</v>
      </c>
      <c r="AB2" s="1" t="s">
        <v>41</v>
      </c>
      <c r="AC2" s="25">
        <v>7.0999999999999994E-2</v>
      </c>
      <c r="AD2" s="25" t="s">
        <v>150</v>
      </c>
      <c r="AE2" s="87"/>
      <c r="AF2" s="1" t="s">
        <v>28</v>
      </c>
      <c r="AG2" s="1" t="s">
        <v>42</v>
      </c>
      <c r="AH2" s="25">
        <v>3.1E-2</v>
      </c>
      <c r="AI2" s="25" t="s">
        <v>150</v>
      </c>
      <c r="AJ2" s="87"/>
      <c r="AK2" s="1" t="s">
        <v>28</v>
      </c>
      <c r="AL2" s="1" t="s">
        <v>43</v>
      </c>
      <c r="AM2" s="25">
        <v>4.0000000000000001E-3</v>
      </c>
      <c r="AN2" s="25" t="s">
        <v>150</v>
      </c>
      <c r="AO2" s="87"/>
      <c r="AP2" s="25" t="s">
        <v>28</v>
      </c>
      <c r="AQ2" s="34" t="s">
        <v>116</v>
      </c>
      <c r="AR2" s="25">
        <v>0</v>
      </c>
      <c r="AS2" s="25" t="s">
        <v>150</v>
      </c>
      <c r="AT2" s="87"/>
    </row>
    <row r="3" spans="1:50" ht="45.75" customHeight="1" x14ac:dyDescent="0.4">
      <c r="A3" s="9" t="s">
        <v>133</v>
      </c>
      <c r="B3" s="3" t="s">
        <v>134</v>
      </c>
      <c r="C3" s="31" t="s">
        <v>4</v>
      </c>
      <c r="D3" s="9" t="s">
        <v>135</v>
      </c>
      <c r="E3" s="6" t="s">
        <v>9</v>
      </c>
      <c r="F3" s="44" t="s">
        <v>24</v>
      </c>
      <c r="G3" s="16" t="s">
        <v>152</v>
      </c>
      <c r="H3" s="6" t="s">
        <v>16</v>
      </c>
      <c r="I3" s="6" t="s">
        <v>147</v>
      </c>
      <c r="J3" s="8" t="s">
        <v>17</v>
      </c>
      <c r="K3" s="113"/>
      <c r="L3" s="8" t="s">
        <v>153</v>
      </c>
      <c r="M3" s="14" t="s">
        <v>23</v>
      </c>
      <c r="N3" s="8" t="s">
        <v>25</v>
      </c>
      <c r="O3" s="36" t="s">
        <v>86</v>
      </c>
      <c r="P3" s="87"/>
      <c r="Q3" t="s">
        <v>28</v>
      </c>
      <c r="R3" s="14" t="s">
        <v>23</v>
      </c>
      <c r="S3" s="8" t="s">
        <v>25</v>
      </c>
      <c r="T3" s="36" t="s">
        <v>86</v>
      </c>
      <c r="U3" s="87"/>
      <c r="V3" t="s">
        <v>28</v>
      </c>
      <c r="W3" s="14" t="s">
        <v>23</v>
      </c>
      <c r="X3" s="8" t="s">
        <v>25</v>
      </c>
      <c r="Y3" s="36" t="s">
        <v>86</v>
      </c>
      <c r="Z3" s="87"/>
      <c r="AA3" s="1" t="s">
        <v>28</v>
      </c>
      <c r="AB3" s="15" t="s">
        <v>29</v>
      </c>
      <c r="AC3" s="16" t="s">
        <v>25</v>
      </c>
      <c r="AD3" s="36" t="s">
        <v>86</v>
      </c>
      <c r="AE3" s="87"/>
      <c r="AF3" s="1" t="s">
        <v>28</v>
      </c>
      <c r="AG3" s="15" t="s">
        <v>29</v>
      </c>
      <c r="AH3" s="16" t="s">
        <v>25</v>
      </c>
      <c r="AI3" s="36" t="s">
        <v>86</v>
      </c>
      <c r="AJ3" s="87"/>
      <c r="AK3" s="1" t="s">
        <v>28</v>
      </c>
      <c r="AL3" s="15" t="s">
        <v>29</v>
      </c>
      <c r="AM3" s="16" t="s">
        <v>25</v>
      </c>
      <c r="AN3" s="36" t="s">
        <v>86</v>
      </c>
      <c r="AO3" s="87"/>
      <c r="AP3" s="1" t="s">
        <v>28</v>
      </c>
      <c r="AQ3" s="15" t="s">
        <v>29</v>
      </c>
      <c r="AR3" s="16" t="s">
        <v>25</v>
      </c>
      <c r="AS3" s="36" t="s">
        <v>86</v>
      </c>
      <c r="AT3" s="87"/>
      <c r="AU3" t="s">
        <v>151</v>
      </c>
      <c r="AW3" t="s">
        <v>87</v>
      </c>
    </row>
    <row r="4" spans="1:50" x14ac:dyDescent="0.25">
      <c r="A4" s="4">
        <v>1</v>
      </c>
      <c r="B4" s="5">
        <v>10</v>
      </c>
      <c r="C4" s="4"/>
      <c r="D4" s="27">
        <f>(B4*B5)^0.5</f>
        <v>11.220071301021219</v>
      </c>
      <c r="E4" s="6" t="s">
        <v>8</v>
      </c>
      <c r="F4" s="45">
        <f>0.065*1600*9.8*B4/1000000</f>
        <v>1.0192E-2</v>
      </c>
      <c r="G4" s="18">
        <f>10^(0.544*LOG(B4)-1.885)</f>
        <v>4.56036915951296E-2</v>
      </c>
      <c r="H4" s="10">
        <f>1600*9.8*(D4/1000000)^2/(18*0.0014)</f>
        <v>7.8331555555555585E-5</v>
      </c>
      <c r="I4" s="7">
        <f>100*H4</f>
        <v>7.8331555555555578E-3</v>
      </c>
      <c r="J4" s="61">
        <v>1</v>
      </c>
      <c r="K4" s="117"/>
      <c r="L4">
        <v>0.2</v>
      </c>
      <c r="M4" s="7">
        <f>1050*(L4/27)^2</f>
        <v>5.7613168724279844E-2</v>
      </c>
      <c r="N4">
        <f>J4*H4*(1-M4/F4)</f>
        <v>-3.6445976377897385E-4</v>
      </c>
      <c r="O4">
        <v>0</v>
      </c>
      <c r="P4" s="87"/>
      <c r="Q4">
        <v>0.15</v>
      </c>
      <c r="R4" s="7">
        <f>1050*(Q4/27)^2</f>
        <v>3.2407407407407406E-2</v>
      </c>
      <c r="S4">
        <f>J4*H4*(1-R4/F4)</f>
        <v>-1.7073856157011718E-4</v>
      </c>
      <c r="T4">
        <v>0</v>
      </c>
      <c r="U4" s="87"/>
      <c r="V4">
        <v>0.1</v>
      </c>
      <c r="W4" s="7">
        <f>1050*(V4/27)^2</f>
        <v>1.4403292181069961E-2</v>
      </c>
      <c r="X4">
        <f>J4*H4*(1-W4/F4)</f>
        <v>-3.2366274278076774E-5</v>
      </c>
      <c r="Y4">
        <v>0</v>
      </c>
      <c r="Z4" s="87"/>
      <c r="AA4">
        <v>7.4999999999999997E-2</v>
      </c>
      <c r="AB4" s="20">
        <f>1050*(AA4/27)^2</f>
        <v>8.1018518518518514E-3</v>
      </c>
      <c r="AC4">
        <f>J4*H4*(1-AB4/F4)</f>
        <v>1.6064026274137394E-5</v>
      </c>
      <c r="AD4">
        <f>AC4*$AC$2</f>
        <v>1.1405458654637549E-6</v>
      </c>
      <c r="AE4" s="87"/>
      <c r="AF4">
        <v>0.05</v>
      </c>
      <c r="AG4" s="20">
        <f>1050*(AF4/27)^2</f>
        <v>3.6008230452674902E-3</v>
      </c>
      <c r="AH4">
        <f>J4*H4*(1-AG4/F4)</f>
        <v>5.0657098097147497E-5</v>
      </c>
      <c r="AI4">
        <f>AH4*$AH$2</f>
        <v>1.5703700410115725E-6</v>
      </c>
      <c r="AJ4" s="87"/>
      <c r="AK4">
        <v>2.5000000000000001E-2</v>
      </c>
      <c r="AL4" s="20">
        <f>1050*(AK4/27)^2</f>
        <v>9.0020576131687256E-4</v>
      </c>
      <c r="AM4">
        <f>J4*H4*(1-AL4/F4)</f>
        <v>7.141294119095357E-5</v>
      </c>
      <c r="AN4">
        <f>AM4*$AM$2</f>
        <v>2.856517647638143E-7</v>
      </c>
      <c r="AO4" s="87"/>
      <c r="AP4">
        <v>1E-3</v>
      </c>
      <c r="AQ4" s="20">
        <f>1050*(AP4/27)^2</f>
        <v>1.440329218106996E-6</v>
      </c>
      <c r="AR4" s="10">
        <f>0.1*H4*(1-AQ4/F4)</f>
        <v>7.8320485772572228E-6</v>
      </c>
      <c r="AS4" s="10">
        <f>AR4*$AR$2</f>
        <v>0</v>
      </c>
      <c r="AT4" s="87"/>
      <c r="AU4">
        <f>(T4+Y4+AD4+AI4+AN4+AS4)*AW4</f>
        <v>3.3621489271303169E-5</v>
      </c>
      <c r="AW4" s="47">
        <v>11.22</v>
      </c>
    </row>
    <row r="5" spans="1:50" x14ac:dyDescent="0.25">
      <c r="A5" s="4">
        <v>1.1000000000000001</v>
      </c>
      <c r="B5" s="5">
        <v>12.589</v>
      </c>
      <c r="C5" s="5">
        <v>2.589</v>
      </c>
      <c r="D5" s="27">
        <f t="shared" ref="D5:D11" si="0">(B5*B6)^0.5</f>
        <v>14.125263218786403</v>
      </c>
      <c r="E5" s="6" t="s">
        <v>5</v>
      </c>
      <c r="F5" s="45">
        <f t="shared" ref="F5:F11" si="1">0.065*1600*9.8*B5/1000000</f>
        <v>1.28307088E-2</v>
      </c>
      <c r="G5" s="18">
        <f t="shared" ref="G5:G11" si="2">10^(0.544*LOG(B5)-1.885)</f>
        <v>5.1688654951225675E-2</v>
      </c>
      <c r="H5" s="10">
        <f>1600*9.8*(D5/1000000)^2/(18*0.0014)</f>
        <v>1.2414768240000002E-4</v>
      </c>
      <c r="I5" s="7">
        <f>100*H5</f>
        <v>1.2414768240000002E-2</v>
      </c>
      <c r="J5" s="43">
        <v>0.56200000000000006</v>
      </c>
      <c r="K5" s="113"/>
      <c r="L5">
        <v>0.2</v>
      </c>
      <c r="M5" s="7">
        <f>1050*(L5/27)^2</f>
        <v>5.7613168724279844E-2</v>
      </c>
      <c r="N5">
        <f>J5*H5*(1-M5/F5)</f>
        <v>-2.4351865111418207E-4</v>
      </c>
      <c r="O5">
        <v>0</v>
      </c>
      <c r="P5" s="87"/>
      <c r="Q5">
        <v>0.15</v>
      </c>
      <c r="R5" s="7">
        <f t="shared" ref="R5:R11" si="3">1050*(Q5/27)^2</f>
        <v>3.2407407407407406E-2</v>
      </c>
      <c r="S5">
        <f>J5*H5*(1-R5/F5)</f>
        <v>-1.0645442984162739E-4</v>
      </c>
      <c r="T5">
        <v>0</v>
      </c>
      <c r="U5" s="87"/>
      <c r="V5">
        <v>0.1</v>
      </c>
      <c r="W5" s="7">
        <f t="shared" ref="W5:W11" si="4">1050*(V5/27)^2</f>
        <v>1.4403292181069961E-2</v>
      </c>
      <c r="X5">
        <f>J5*H5*(1-W5/F5)</f>
        <v>-8.5514146469455005E-6</v>
      </c>
      <c r="Y5">
        <v>0</v>
      </c>
      <c r="Z5" s="87"/>
      <c r="AA5">
        <v>7.4999999999999997E-2</v>
      </c>
      <c r="AB5" s="20">
        <f t="shared" ref="AB5:AB11" si="5">1050*(AA5/27)^2</f>
        <v>8.1018518518518514E-3</v>
      </c>
      <c r="AC5">
        <f>J5*H5*(1-AB5/F5)</f>
        <v>2.5714640671193172E-5</v>
      </c>
      <c r="AD5">
        <f>AC5*$AC$2</f>
        <v>1.8257394876547151E-6</v>
      </c>
      <c r="AE5" s="87"/>
      <c r="AF5">
        <v>0.05</v>
      </c>
      <c r="AG5" s="20">
        <f t="shared" ref="AG5:AG11" si="6">1050*(AF5/27)^2</f>
        <v>3.6008230452674902E-3</v>
      </c>
      <c r="AH5">
        <f>J5*H5*(1-AG5/F5)</f>
        <v>5.0190394469863647E-5</v>
      </c>
      <c r="AI5">
        <f>AH5*$AH$2</f>
        <v>1.5559022285657729E-6</v>
      </c>
      <c r="AJ5" s="87"/>
      <c r="AK5">
        <v>2.5000000000000001E-2</v>
      </c>
      <c r="AL5" s="20">
        <f t="shared" ref="AL5:AL11" si="7">1050*(AK5/27)^2</f>
        <v>9.0020576131687256E-4</v>
      </c>
      <c r="AM5">
        <f>J5*H5*(1-AL5/F5)</f>
        <v>6.4875846749065929E-5</v>
      </c>
      <c r="AN5">
        <f>AM5*$AM$2</f>
        <v>2.595033869962637E-7</v>
      </c>
      <c r="AO5" s="87"/>
      <c r="AP5">
        <v>1E-3</v>
      </c>
      <c r="AQ5" s="20">
        <f t="shared" ref="AQ5:AQ11" si="8">1050*(AP5/27)^2</f>
        <v>1.440329218106996E-6</v>
      </c>
      <c r="AR5" s="10">
        <f>0.1*H5*(1-AQ5/F5)</f>
        <v>1.2413374602773032E-5</v>
      </c>
      <c r="AS5" s="10">
        <f>AR5*$AR$2</f>
        <v>0</v>
      </c>
      <c r="AT5" s="87"/>
      <c r="AU5">
        <f t="shared" ref="AU5:AU11" si="9">(T5+Y5+AD5+AI5+AN5+AS5)*AW5</f>
        <v>5.14493803084527E-5</v>
      </c>
      <c r="AW5" s="47">
        <v>14.13</v>
      </c>
    </row>
    <row r="6" spans="1:50" x14ac:dyDescent="0.25">
      <c r="A6" s="4">
        <v>1.2</v>
      </c>
      <c r="B6" s="5">
        <v>15.849</v>
      </c>
      <c r="C6" s="5">
        <v>3.26</v>
      </c>
      <c r="D6" s="27">
        <f t="shared" si="0"/>
        <v>17.783000224933925</v>
      </c>
      <c r="E6" s="6" t="s">
        <v>6</v>
      </c>
      <c r="F6" s="45">
        <f t="shared" si="1"/>
        <v>1.6153300799999999E-2</v>
      </c>
      <c r="G6" s="18">
        <f t="shared" si="2"/>
        <v>5.8586966901058878E-2</v>
      </c>
      <c r="H6" s="10">
        <f>1600*9.8*(D6/1000000)^2/(18*0.0014)</f>
        <v>1.9676850480000003E-4</v>
      </c>
      <c r="I6" s="7">
        <f>100*H6</f>
        <v>1.9676850480000004E-2</v>
      </c>
      <c r="J6" s="43">
        <v>0.316</v>
      </c>
      <c r="K6" s="113"/>
      <c r="L6">
        <v>0.2</v>
      </c>
      <c r="M6" s="7">
        <f t="shared" ref="M6:M11" si="10">1050*(L6/27)^2</f>
        <v>5.7613168724279844E-2</v>
      </c>
      <c r="N6">
        <f>J6*H6*(1-M6/F6)</f>
        <v>-1.5959133292004719E-4</v>
      </c>
      <c r="O6">
        <v>0</v>
      </c>
      <c r="P6" s="87"/>
      <c r="Q6">
        <v>0.15</v>
      </c>
      <c r="R6" s="7">
        <f t="shared" si="3"/>
        <v>3.2407407407407406E-2</v>
      </c>
      <c r="S6">
        <f>J6*H6*(1-R6/F6)</f>
        <v>-6.2566878978926506E-5</v>
      </c>
      <c r="T6">
        <v>0</v>
      </c>
      <c r="U6" s="87"/>
      <c r="V6">
        <v>0.1</v>
      </c>
      <c r="W6" s="7">
        <f t="shared" si="4"/>
        <v>1.4403292181069961E-2</v>
      </c>
      <c r="X6">
        <f>J6*H6*(1-W6/F6)</f>
        <v>6.7363024075882154E-6</v>
      </c>
      <c r="Y6">
        <f>X6*$X$2</f>
        <v>1.5560858561528778E-6</v>
      </c>
      <c r="Z6" s="87"/>
      <c r="AA6">
        <v>7.4999999999999997E-2</v>
      </c>
      <c r="AB6" s="20">
        <f t="shared" si="5"/>
        <v>8.1018518518518514E-3</v>
      </c>
      <c r="AC6">
        <f>J6*H6*(1-AB6/F6)</f>
        <v>3.0992415892868386E-5</v>
      </c>
      <c r="AD6">
        <f>AC6*$AC$2</f>
        <v>2.2004615283936553E-6</v>
      </c>
      <c r="AE6" s="87"/>
      <c r="AF6">
        <v>0.05</v>
      </c>
      <c r="AG6" s="20">
        <f t="shared" si="6"/>
        <v>3.6008230452674902E-3</v>
      </c>
      <c r="AH6">
        <f>J6*H6*(1-AG6/F6)</f>
        <v>4.8318211239497066E-5</v>
      </c>
      <c r="AI6">
        <f>AH6*$AH$2</f>
        <v>1.4978645484244091E-6</v>
      </c>
      <c r="AJ6" s="87"/>
      <c r="AK6">
        <v>2.5000000000000001E-2</v>
      </c>
      <c r="AL6" s="20">
        <f t="shared" si="7"/>
        <v>9.0020576131687256E-4</v>
      </c>
      <c r="AM6">
        <f>J6*H6*(1-AL6/F6)</f>
        <v>5.8713688447474272E-5</v>
      </c>
      <c r="AN6">
        <f>AM6*$AM$2</f>
        <v>2.3485475378989711E-7</v>
      </c>
      <c r="AO6" s="87"/>
      <c r="AP6">
        <v>1E-3</v>
      </c>
      <c r="AQ6" s="20">
        <f t="shared" si="8"/>
        <v>1.440329218106996E-6</v>
      </c>
      <c r="AR6" s="10">
        <f>0.1*H6*(1-AQ6/F6)</f>
        <v>1.9675095969078825E-5</v>
      </c>
      <c r="AS6" s="10">
        <f>AR6*$AR$2</f>
        <v>0</v>
      </c>
      <c r="AT6" s="87"/>
      <c r="AU6">
        <f t="shared" si="9"/>
        <v>9.7599161690607719E-5</v>
      </c>
      <c r="AW6" s="47">
        <v>17.78</v>
      </c>
    </row>
    <row r="7" spans="1:50" x14ac:dyDescent="0.25">
      <c r="A7" s="4">
        <v>1.3</v>
      </c>
      <c r="B7" s="5">
        <v>19.952999999999999</v>
      </c>
      <c r="C7" s="5">
        <v>4.1040000000000001</v>
      </c>
      <c r="D7" s="27">
        <f t="shared" si="0"/>
        <v>22.387483266325404</v>
      </c>
      <c r="E7" s="6" t="s">
        <v>7</v>
      </c>
      <c r="F7" s="45">
        <f t="shared" si="1"/>
        <v>2.0336097600000002E-2</v>
      </c>
      <c r="G7" s="18">
        <f t="shared" si="2"/>
        <v>6.6405562862589834E-2</v>
      </c>
      <c r="H7" s="10">
        <f>1600*9.8*(D7/1000000)^2/(18*0.0014)</f>
        <v>3.118574088E-4</v>
      </c>
      <c r="I7" s="7">
        <f>100*H7</f>
        <v>3.118574088E-2</v>
      </c>
      <c r="J7" s="43">
        <v>0.17799999999999999</v>
      </c>
      <c r="K7" s="113"/>
      <c r="L7">
        <v>0.2</v>
      </c>
      <c r="M7" s="7">
        <f t="shared" si="10"/>
        <v>5.7613168724279844E-2</v>
      </c>
      <c r="N7">
        <f>J7*H7*(1-M7/F7)</f>
        <v>-1.0175370538681305E-4</v>
      </c>
      <c r="O7">
        <v>0</v>
      </c>
      <c r="P7" s="87"/>
      <c r="Q7">
        <v>0.15</v>
      </c>
      <c r="R7" s="7">
        <f t="shared" si="3"/>
        <v>3.2407407407407406E-2</v>
      </c>
      <c r="S7">
        <f>J7*H7*(1-R7/F7)</f>
        <v>-3.2950563569782321E-5</v>
      </c>
      <c r="T7">
        <v>0</v>
      </c>
      <c r="U7" s="87"/>
      <c r="V7">
        <v>0.1</v>
      </c>
      <c r="W7" s="7">
        <f t="shared" si="4"/>
        <v>1.4403292181069961E-2</v>
      </c>
      <c r="X7">
        <f>J7*H7*(1-W7/F7)</f>
        <v>1.6194537728096738E-5</v>
      </c>
      <c r="Y7">
        <f>X7*$X$2</f>
        <v>3.7409382151903468E-6</v>
      </c>
      <c r="Z7" s="87"/>
      <c r="AA7">
        <v>7.4999999999999997E-2</v>
      </c>
      <c r="AB7" s="20">
        <f t="shared" si="5"/>
        <v>8.1018518518518514E-3</v>
      </c>
      <c r="AC7">
        <f>J7*H7*(1-AB7/F7)</f>
        <v>3.3395323182354415E-5</v>
      </c>
      <c r="AD7">
        <f>AC7*$AC$2</f>
        <v>2.3710679459471634E-6</v>
      </c>
      <c r="AE7" s="87"/>
      <c r="AF7">
        <v>0.05</v>
      </c>
      <c r="AG7" s="20">
        <f t="shared" si="6"/>
        <v>3.6008230452674902E-3</v>
      </c>
      <c r="AH7">
        <f>J7*H7*(1-AG7/F7)</f>
        <v>4.5681598506824184E-5</v>
      </c>
      <c r="AI7">
        <f>AH7*$AH$2</f>
        <v>1.4161295537115496E-6</v>
      </c>
      <c r="AJ7" s="87"/>
      <c r="AK7">
        <v>2.5000000000000001E-2</v>
      </c>
      <c r="AL7" s="20">
        <f t="shared" si="7"/>
        <v>9.0020576131687256E-4</v>
      </c>
      <c r="AM7">
        <f>J7*H7*(1-AL7/F7)</f>
        <v>5.3053363701506041E-5</v>
      </c>
      <c r="AN7">
        <f>AM7*$AM$2</f>
        <v>2.1221345480602417E-7</v>
      </c>
      <c r="AO7" s="87"/>
      <c r="AP7">
        <v>1E-3</v>
      </c>
      <c r="AQ7" s="20">
        <f t="shared" si="8"/>
        <v>1.440329218106996E-6</v>
      </c>
      <c r="AR7" s="10">
        <f>0.1*H7*(1-AQ7/F7)</f>
        <v>3.1183532111402347E-5</v>
      </c>
      <c r="AS7" s="10">
        <f>AR7*$AR$2</f>
        <v>0</v>
      </c>
      <c r="AT7" s="87"/>
      <c r="AU7">
        <f t="shared" si="9"/>
        <v>1.7330641790857732E-4</v>
      </c>
      <c r="AW7" s="47">
        <v>22.39</v>
      </c>
    </row>
    <row r="8" spans="1:50" x14ac:dyDescent="0.25">
      <c r="A8" s="4">
        <v>1.4</v>
      </c>
      <c r="B8" s="5">
        <v>25.119</v>
      </c>
      <c r="C8" s="5">
        <v>5.1660000000000004</v>
      </c>
      <c r="D8" s="27">
        <f t="shared" si="0"/>
        <v>28.184004985097488</v>
      </c>
      <c r="E8" s="6" t="s">
        <v>10</v>
      </c>
      <c r="F8" s="45">
        <f t="shared" si="1"/>
        <v>2.5601284800000002E-2</v>
      </c>
      <c r="G8" s="18">
        <f t="shared" si="2"/>
        <v>7.5266422877521957E-2</v>
      </c>
      <c r="H8" s="10">
        <f>1600*9.8*(D8/1000000)^2/(18*0.0014)</f>
        <v>4.9425484080000011E-4</v>
      </c>
      <c r="I8" s="7">
        <f>100*H8</f>
        <v>4.9425484080000012E-2</v>
      </c>
      <c r="J8" s="43">
        <v>0.1</v>
      </c>
      <c r="K8" s="113"/>
      <c r="L8">
        <v>0.2</v>
      </c>
      <c r="M8" s="7">
        <f t="shared" si="10"/>
        <v>5.7613168724279844E-2</v>
      </c>
      <c r="N8">
        <f>J8*H8*(1-M8/F8)</f>
        <v>-6.1801697517551978E-5</v>
      </c>
      <c r="O8">
        <v>0</v>
      </c>
      <c r="P8" s="87"/>
      <c r="Q8">
        <v>0.15</v>
      </c>
      <c r="R8" s="7">
        <f t="shared" si="3"/>
        <v>3.2407407407407406E-2</v>
      </c>
      <c r="S8">
        <f>J8*H8*(1-R8/F8)</f>
        <v>-1.3139805568622975E-5</v>
      </c>
      <c r="T8">
        <v>0</v>
      </c>
      <c r="U8" s="87"/>
      <c r="V8">
        <v>0.1</v>
      </c>
      <c r="W8" s="7">
        <f t="shared" si="4"/>
        <v>1.4403292181069961E-2</v>
      </c>
      <c r="X8">
        <f>J8*H8*(1-W8/F8)</f>
        <v>2.1618688680612014E-5</v>
      </c>
      <c r="Y8">
        <f>X8*$X$2</f>
        <v>4.9939170852213752E-6</v>
      </c>
      <c r="Z8" s="87"/>
      <c r="AA8">
        <v>7.4999999999999997E-2</v>
      </c>
      <c r="AB8" s="20">
        <f t="shared" si="5"/>
        <v>8.1018518518518514E-3</v>
      </c>
      <c r="AC8">
        <f>J8*H8*(1-AB8/F8)</f>
        <v>3.3784161667844267E-5</v>
      </c>
      <c r="AD8">
        <f>AC8*$AC$2</f>
        <v>2.3986754784169429E-6</v>
      </c>
      <c r="AE8" s="87"/>
      <c r="AF8">
        <v>0.05</v>
      </c>
      <c r="AG8" s="20">
        <f t="shared" si="6"/>
        <v>3.6008230452674902E-3</v>
      </c>
      <c r="AH8">
        <f>J8*H8*(1-AG8/F8)</f>
        <v>4.2473785230153013E-5</v>
      </c>
      <c r="AI8">
        <f>AH8*$AH$2</f>
        <v>1.3166873421347433E-6</v>
      </c>
      <c r="AJ8" s="87"/>
      <c r="AK8">
        <v>2.5000000000000001E-2</v>
      </c>
      <c r="AL8" s="20">
        <f t="shared" si="7"/>
        <v>9.0020576131687256E-4</v>
      </c>
      <c r="AM8">
        <f>J8*H8*(1-AL8/F8)</f>
        <v>4.7687559367538263E-5</v>
      </c>
      <c r="AN8">
        <f>AM8*$AM$2</f>
        <v>1.9075023747015305E-7</v>
      </c>
      <c r="AO8" s="87"/>
      <c r="AP8">
        <v>1E-3</v>
      </c>
      <c r="AQ8" s="20">
        <f t="shared" si="8"/>
        <v>1.440329218106996E-6</v>
      </c>
      <c r="AR8" s="10">
        <f>0.1*H8*(1-AQ8/F8)</f>
        <v>4.9422703400460073E-5</v>
      </c>
      <c r="AS8" s="10">
        <f>AR8*$AR$2</f>
        <v>0</v>
      </c>
      <c r="AT8" s="87"/>
      <c r="AU8">
        <f t="shared" si="9"/>
        <v>2.5080284943659382E-4</v>
      </c>
      <c r="AW8" s="47">
        <v>28.18</v>
      </c>
    </row>
    <row r="9" spans="1:50" x14ac:dyDescent="0.25">
      <c r="A9" s="4">
        <v>1.5</v>
      </c>
      <c r="B9" s="5">
        <v>31.623000000000001</v>
      </c>
      <c r="C9" s="5">
        <v>6.5039999999999996</v>
      </c>
      <c r="D9" s="27">
        <f t="shared" si="0"/>
        <v>35.481590339216758</v>
      </c>
      <c r="E9" s="6" t="s">
        <v>11</v>
      </c>
      <c r="F9" s="45">
        <f t="shared" si="1"/>
        <v>3.2230161600000001E-2</v>
      </c>
      <c r="G9" s="18">
        <f t="shared" si="2"/>
        <v>8.5310339253953912E-2</v>
      </c>
      <c r="H9" s="10">
        <f>1600*9.8*(D9/1000000)^2/(18*0.0014)</f>
        <v>7.8334246853333357E-4</v>
      </c>
      <c r="I9" s="7">
        <f>100*H9</f>
        <v>7.8334246853333359E-2</v>
      </c>
      <c r="J9" s="43">
        <v>5.6000000000000001E-2</v>
      </c>
      <c r="K9" s="113"/>
      <c r="L9">
        <v>0.2</v>
      </c>
      <c r="M9" s="7">
        <f t="shared" si="10"/>
        <v>5.7613168724279844E-2</v>
      </c>
      <c r="N9">
        <f>J9*H9*(1-M9/F9)</f>
        <v>-3.4547791337596755E-5</v>
      </c>
      <c r="O9">
        <v>0</v>
      </c>
      <c r="P9" s="87"/>
      <c r="Q9">
        <v>0.15</v>
      </c>
      <c r="R9" s="7">
        <f t="shared" si="3"/>
        <v>3.2407407407407406E-2</v>
      </c>
      <c r="S9">
        <f>J9*H9*(1-R9/F9)</f>
        <v>-2.4124214833149478E-7</v>
      </c>
      <c r="T9">
        <v>0</v>
      </c>
      <c r="U9" s="87"/>
      <c r="V9">
        <v>0.1</v>
      </c>
      <c r="W9" s="7">
        <f t="shared" si="4"/>
        <v>1.4403292181069961E-2</v>
      </c>
      <c r="X9">
        <f>J9*H9*(1-W9/F9)</f>
        <v>2.4263435844000818E-5</v>
      </c>
      <c r="Y9">
        <f>X9*$X$2</f>
        <v>5.6048536799641892E-6</v>
      </c>
      <c r="Z9" s="87"/>
      <c r="AA9">
        <v>7.4999999999999997E-2</v>
      </c>
      <c r="AB9" s="20">
        <f t="shared" si="5"/>
        <v>8.1018518518518514E-3</v>
      </c>
      <c r="AC9">
        <f>J9*H9*(1-AB9/F9)</f>
        <v>3.2840073141317138E-5</v>
      </c>
      <c r="AD9">
        <f>AC9*$AC$2</f>
        <v>2.3316451930335164E-6</v>
      </c>
      <c r="AE9" s="87"/>
      <c r="AF9">
        <v>0.05</v>
      </c>
      <c r="AG9" s="20">
        <f t="shared" si="6"/>
        <v>3.6008230452674902E-3</v>
      </c>
      <c r="AH9">
        <f>J9*H9*(1-AG9/F9)</f>
        <v>3.8966242639400216E-5</v>
      </c>
      <c r="AI9">
        <f>AH9*$AH$2</f>
        <v>1.2079535218214068E-6</v>
      </c>
      <c r="AJ9" s="87"/>
      <c r="AK9">
        <v>2.5000000000000001E-2</v>
      </c>
      <c r="AL9" s="20">
        <f t="shared" si="7"/>
        <v>9.0020576131687256E-4</v>
      </c>
      <c r="AM9">
        <f>J9*H9*(1-AL9/F9)</f>
        <v>4.2641944338250061E-5</v>
      </c>
      <c r="AN9">
        <f>AM9*$AM$2</f>
        <v>1.7056777735300025E-7</v>
      </c>
      <c r="AO9" s="87"/>
      <c r="AP9">
        <v>1E-3</v>
      </c>
      <c r="AQ9" s="20">
        <f t="shared" si="8"/>
        <v>1.440329218106996E-6</v>
      </c>
      <c r="AR9" s="10">
        <f>0.1*H9*(1-AQ9/F9)</f>
        <v>7.8330746185048745E-5</v>
      </c>
      <c r="AS9" s="10">
        <f>AR9*$AR$2</f>
        <v>0</v>
      </c>
      <c r="AT9" s="87"/>
      <c r="AU9">
        <f t="shared" si="9"/>
        <v>3.3049691570866661E-4</v>
      </c>
      <c r="AW9" s="47">
        <v>35.479999999999997</v>
      </c>
    </row>
    <row r="10" spans="1:50" x14ac:dyDescent="0.25">
      <c r="A10" s="4">
        <v>1.6</v>
      </c>
      <c r="B10" s="5">
        <v>39.811</v>
      </c>
      <c r="C10" s="5">
        <v>8.1880000000000006</v>
      </c>
      <c r="D10" s="27">
        <f t="shared" si="0"/>
        <v>44.668641226256256</v>
      </c>
      <c r="E10" s="6" t="s">
        <v>12</v>
      </c>
      <c r="F10" s="45">
        <f t="shared" si="1"/>
        <v>4.0575371200000002E-2</v>
      </c>
      <c r="G10" s="18">
        <f t="shared" si="2"/>
        <v>9.6694479312890325E-2</v>
      </c>
      <c r="H10" s="10">
        <f>1600*9.8*(D10/1000000)^2/(18*0.0014)</f>
        <v>1.2415122278222224E-3</v>
      </c>
      <c r="I10" s="7">
        <f>100*H10</f>
        <v>0.12415122278222224</v>
      </c>
      <c r="J10" s="43">
        <v>3.2000000000000001E-2</v>
      </c>
      <c r="K10" s="113"/>
      <c r="L10">
        <v>0.2</v>
      </c>
      <c r="M10" s="7">
        <f t="shared" si="10"/>
        <v>5.7613168724279844E-2</v>
      </c>
      <c r="N10">
        <f>J10*H10*(1-M10/F10)</f>
        <v>-1.6682146502942739E-5</v>
      </c>
      <c r="O10">
        <v>0</v>
      </c>
      <c r="P10" s="87"/>
      <c r="Q10">
        <v>0.15</v>
      </c>
      <c r="R10" s="7">
        <f t="shared" si="3"/>
        <v>3.2407407407407406E-2</v>
      </c>
      <c r="S10">
        <f>J10*H10*(1-R10/F10)</f>
        <v>7.9974637816058283E-6</v>
      </c>
      <c r="T10">
        <f>S10*$S$2</f>
        <v>1.9193913075853986E-6</v>
      </c>
      <c r="U10" s="87"/>
      <c r="V10">
        <v>0.1</v>
      </c>
      <c r="W10" s="7">
        <f t="shared" si="4"/>
        <v>1.4403292181069961E-2</v>
      </c>
      <c r="X10">
        <f>J10*H10*(1-W10/F10)</f>
        <v>2.5625756841997649E-5</v>
      </c>
      <c r="Y10">
        <f>X10*$X$2</f>
        <v>5.9195498305014574E-6</v>
      </c>
      <c r="Z10" s="87"/>
      <c r="AA10">
        <v>7.4999999999999997E-2</v>
      </c>
      <c r="AB10" s="20">
        <f t="shared" si="5"/>
        <v>8.1018518518518514E-3</v>
      </c>
      <c r="AC10">
        <f>J10*H10*(1-AB10/F10)</f>
        <v>3.1795659413134796E-5</v>
      </c>
      <c r="AD10">
        <f>AC10*$AC$2</f>
        <v>2.2574918183325703E-6</v>
      </c>
      <c r="AE10" s="87"/>
      <c r="AF10">
        <v>0.05</v>
      </c>
      <c r="AG10" s="20">
        <f t="shared" si="6"/>
        <v>3.6008230452674902E-3</v>
      </c>
      <c r="AH10">
        <f>J10*H10*(1-AG10/F10)</f>
        <v>3.6202732678232751E-5</v>
      </c>
      <c r="AI10">
        <f>AH10*$AH$2</f>
        <v>1.1222847130252153E-6</v>
      </c>
      <c r="AJ10" s="87"/>
      <c r="AK10">
        <v>2.5000000000000001E-2</v>
      </c>
      <c r="AL10" s="20">
        <f t="shared" si="7"/>
        <v>9.0020576131687256E-4</v>
      </c>
      <c r="AM10">
        <f>J10*H10*(1-AL10/F10)</f>
        <v>3.8846976637291527E-5</v>
      </c>
      <c r="AN10">
        <f>AM10*$AM$2</f>
        <v>1.553879065491661E-7</v>
      </c>
      <c r="AO10" s="87"/>
      <c r="AP10">
        <v>1E-3</v>
      </c>
      <c r="AQ10" s="20">
        <f t="shared" si="8"/>
        <v>1.440329218106996E-6</v>
      </c>
      <c r="AR10" s="10">
        <f>0.1*H10*(1-AQ10/F10)</f>
        <v>1.2414681570895714E-4</v>
      </c>
      <c r="AS10" s="10">
        <f>AR10*$AR$2</f>
        <v>0</v>
      </c>
      <c r="AT10" s="87"/>
      <c r="AU10">
        <f t="shared" si="9"/>
        <v>5.0808129607964351E-4</v>
      </c>
      <c r="AW10" s="47">
        <v>44.67</v>
      </c>
    </row>
    <row r="11" spans="1:50" x14ac:dyDescent="0.25">
      <c r="A11" s="4">
        <v>1.7</v>
      </c>
      <c r="B11" s="5">
        <v>50.119</v>
      </c>
      <c r="C11" s="5">
        <v>10.308</v>
      </c>
      <c r="D11" s="27">
        <f t="shared" si="0"/>
        <v>56.234406051811376</v>
      </c>
      <c r="E11" s="6" t="s">
        <v>13</v>
      </c>
      <c r="F11" s="45">
        <f t="shared" si="1"/>
        <v>5.1081284800000001E-2</v>
      </c>
      <c r="G11" s="18">
        <f t="shared" si="2"/>
        <v>0.10959766563810838</v>
      </c>
      <c r="H11" s="10">
        <f>1600*9.8*(D11/1000000)^2/(18*0.0014)</f>
        <v>1.9676585749333333E-3</v>
      </c>
      <c r="I11" s="7">
        <f>100*H11</f>
        <v>0.19676585749333333</v>
      </c>
      <c r="J11" s="43">
        <v>1.7999999999999999E-2</v>
      </c>
      <c r="K11" s="113"/>
      <c r="L11">
        <v>0.2</v>
      </c>
      <c r="M11" s="7">
        <f t="shared" si="10"/>
        <v>5.7613168724279844E-2</v>
      </c>
      <c r="N11">
        <f>J11*H11*(1-M11/F11)</f>
        <v>-4.5289642646852871E-6</v>
      </c>
      <c r="O11">
        <v>0</v>
      </c>
      <c r="P11" s="87"/>
      <c r="Q11">
        <v>0.15</v>
      </c>
      <c r="R11" s="7">
        <f t="shared" si="3"/>
        <v>3.2407407407407406E-2</v>
      </c>
      <c r="S11">
        <f>J11*H11*(1-R11/F11)</f>
        <v>1.2947768878714531E-5</v>
      </c>
      <c r="T11">
        <f>S11*$S$2</f>
        <v>3.1074645308914875E-6</v>
      </c>
      <c r="U11" s="87"/>
      <c r="V11">
        <v>0.1</v>
      </c>
      <c r="W11" s="7">
        <f t="shared" si="4"/>
        <v>1.4403292181069961E-2</v>
      </c>
      <c r="X11">
        <f>J11*H11*(1-W11/F11)</f>
        <v>2.5431149695428671E-5</v>
      </c>
      <c r="Y11">
        <f>X11*$X$2</f>
        <v>5.8745955796440235E-6</v>
      </c>
      <c r="Z11" s="87"/>
      <c r="AA11">
        <v>7.4999999999999997E-2</v>
      </c>
      <c r="AB11" s="20">
        <f t="shared" si="5"/>
        <v>8.1018518518518514E-3</v>
      </c>
      <c r="AC11">
        <f>J11*H11*(1-AB11/F11)</f>
        <v>2.9800332981278627E-5</v>
      </c>
      <c r="AD11">
        <f>AC11*$AC$2</f>
        <v>2.1158236416707821E-6</v>
      </c>
      <c r="AE11" s="87"/>
      <c r="AF11">
        <v>0.05</v>
      </c>
      <c r="AG11" s="20">
        <f t="shared" si="6"/>
        <v>3.6008230452674902E-3</v>
      </c>
      <c r="AH11">
        <f>J11*H11*(1-AG11/F11)</f>
        <v>3.2921178185457165E-5</v>
      </c>
      <c r="AI11">
        <f>AH11*$AH$2</f>
        <v>1.020556523749172E-6</v>
      </c>
      <c r="AJ11" s="87"/>
      <c r="AK11">
        <v>2.5000000000000001E-2</v>
      </c>
      <c r="AL11" s="20">
        <f t="shared" si="7"/>
        <v>9.0020576131687256E-4</v>
      </c>
      <c r="AM11">
        <f>J11*H11*(1-AL11/F11)</f>
        <v>3.4793685307964284E-5</v>
      </c>
      <c r="AN11">
        <f>AM11*$AM$2</f>
        <v>1.3917474123185715E-7</v>
      </c>
      <c r="AO11" s="87"/>
      <c r="AP11">
        <v>1E-3</v>
      </c>
      <c r="AQ11" s="20">
        <f t="shared" si="8"/>
        <v>1.440329218106996E-6</v>
      </c>
      <c r="AR11" s="10">
        <f>0.1*H11*(1-AQ11/F11)</f>
        <v>1.9676030932408147E-4</v>
      </c>
      <c r="AS11" s="10">
        <f>AR11*$AR$2</f>
        <v>0</v>
      </c>
      <c r="AT11" s="87"/>
      <c r="AU11">
        <f t="shared" si="9"/>
        <v>6.8924569241644309E-4</v>
      </c>
      <c r="AW11" s="47">
        <v>56.23</v>
      </c>
    </row>
    <row r="12" spans="1:50" x14ac:dyDescent="0.25">
      <c r="A12" s="4">
        <v>1.8</v>
      </c>
      <c r="B12" s="5">
        <v>63.095999999999997</v>
      </c>
      <c r="C12" s="5">
        <v>12.977</v>
      </c>
      <c r="D12" s="5"/>
      <c r="G12" s="18">
        <v>0.124</v>
      </c>
      <c r="H12" s="18"/>
      <c r="I12" s="11" t="s">
        <v>18</v>
      </c>
      <c r="J12" s="11">
        <f>SUM(J4:J11)</f>
        <v>2.262</v>
      </c>
      <c r="K12" s="113"/>
      <c r="M12" t="s">
        <v>149</v>
      </c>
      <c r="O12" s="46">
        <v>0</v>
      </c>
      <c r="P12" s="87"/>
      <c r="T12" s="93">
        <f>SUM(T10:T11)</f>
        <v>5.0268558384768857E-6</v>
      </c>
      <c r="U12" s="87"/>
      <c r="Y12" s="46">
        <f>SUM(Y6:Y11)</f>
        <v>2.7689940246674266E-5</v>
      </c>
      <c r="Z12" s="87"/>
      <c r="AD12" s="93">
        <f>SUM(AD4:AD11)</f>
        <v>1.6641450958913101E-5</v>
      </c>
      <c r="AE12" s="87"/>
      <c r="AI12" s="46">
        <f>SUM(AI4:AI11)</f>
        <v>1.0707748472443842E-5</v>
      </c>
      <c r="AJ12" s="87"/>
      <c r="AN12" s="93">
        <f>SUM(AN4:AN11)</f>
        <v>1.6481040229601759E-6</v>
      </c>
      <c r="AO12" s="87"/>
      <c r="AP12"/>
      <c r="AS12" s="46">
        <f>SUM(AS4:AS11)</f>
        <v>0</v>
      </c>
      <c r="AT12" s="87"/>
      <c r="AU12" s="11" t="s">
        <v>89</v>
      </c>
      <c r="AV12" s="55">
        <f>SUM(AU4:AU11)</f>
        <v>2.134603202820288E-3</v>
      </c>
      <c r="AW12" s="87" t="s">
        <v>154</v>
      </c>
      <c r="AX12" s="87"/>
    </row>
    <row r="13" spans="1:50" x14ac:dyDescent="0.25">
      <c r="F13" t="s">
        <v>52</v>
      </c>
      <c r="G13" t="s">
        <v>56</v>
      </c>
      <c r="J13" s="113" t="s">
        <v>148</v>
      </c>
      <c r="K13" s="113"/>
      <c r="N13" s="114" t="s">
        <v>111</v>
      </c>
      <c r="O13" s="46">
        <v>0</v>
      </c>
      <c r="P13" s="87"/>
      <c r="S13" s="114" t="s">
        <v>111</v>
      </c>
      <c r="T13" s="45">
        <f>100*T12/$AV$13</f>
        <v>8.1453928291735664</v>
      </c>
      <c r="U13" s="87"/>
      <c r="X13" s="114" t="s">
        <v>111</v>
      </c>
      <c r="Y13" s="115">
        <f>100*Y12/$AV$13</f>
        <v>44.868094087584645</v>
      </c>
      <c r="Z13" s="87"/>
      <c r="AC13" s="114" t="s">
        <v>111</v>
      </c>
      <c r="AD13" s="115">
        <f>100*AD12/$AV$13</f>
        <v>26.965395400884564</v>
      </c>
      <c r="AE13" s="87"/>
      <c r="AH13" s="114" t="s">
        <v>111</v>
      </c>
      <c r="AI13" s="115">
        <f>100*AI12/$AV$13</f>
        <v>17.35057069996763</v>
      </c>
      <c r="AJ13" s="87"/>
      <c r="AM13" s="114" t="s">
        <v>111</v>
      </c>
      <c r="AN13" s="115">
        <f>100*AN12/$AV$13</f>
        <v>2.6705469823895869</v>
      </c>
      <c r="AO13" s="87"/>
      <c r="AP13"/>
      <c r="AR13" s="116" t="s">
        <v>111</v>
      </c>
      <c r="AS13" s="25">
        <f>100*AS12/$AV$13</f>
        <v>0</v>
      </c>
      <c r="AT13" s="87"/>
      <c r="AU13" s="11" t="s">
        <v>90</v>
      </c>
      <c r="AV13" s="82">
        <f>O12+T12+Y12+AD12+AI12+AN12+AT12</f>
        <v>6.1714099539468274E-5</v>
      </c>
      <c r="AW13" s="106">
        <f>AV12/AV13</f>
        <v>34.5885821675991</v>
      </c>
      <c r="AX13" s="87" t="s">
        <v>91</v>
      </c>
    </row>
    <row r="14" spans="1:50" s="25" customFormat="1" x14ac:dyDescent="0.25">
      <c r="E14" s="34"/>
      <c r="K14" s="113"/>
      <c r="P14" s="87"/>
      <c r="U14" s="87"/>
      <c r="Z14" s="87"/>
      <c r="AE14" s="87"/>
      <c r="AJ14" s="87"/>
      <c r="AO14" s="87"/>
      <c r="AT14" s="87"/>
    </row>
    <row r="15" spans="1:50" s="25" customFormat="1" x14ac:dyDescent="0.25">
      <c r="A15" s="109" t="s">
        <v>132</v>
      </c>
      <c r="B15" s="109"/>
      <c r="C15" s="109"/>
      <c r="D15" s="89"/>
      <c r="E15" s="98" t="s">
        <v>136</v>
      </c>
      <c r="K15" s="113"/>
      <c r="M15" s="25" t="s">
        <v>28</v>
      </c>
      <c r="N15" s="25" t="s">
        <v>37</v>
      </c>
      <c r="O15" s="25">
        <v>0.186</v>
      </c>
      <c r="P15" s="87"/>
      <c r="R15" s="25" t="s">
        <v>28</v>
      </c>
      <c r="S15" s="25" t="s">
        <v>39</v>
      </c>
      <c r="T15" s="25">
        <v>0.24</v>
      </c>
      <c r="U15" s="87"/>
      <c r="W15" s="25" t="s">
        <v>28</v>
      </c>
      <c r="X15" s="25" t="s">
        <v>40</v>
      </c>
      <c r="Y15" s="25">
        <v>0.23100000000000001</v>
      </c>
      <c r="Z15" s="87"/>
      <c r="AB15" s="1" t="s">
        <v>28</v>
      </c>
      <c r="AC15" s="1" t="s">
        <v>41</v>
      </c>
      <c r="AD15" s="25">
        <v>7.0999999999999994E-2</v>
      </c>
      <c r="AE15" s="87"/>
      <c r="AG15" s="1" t="s">
        <v>28</v>
      </c>
      <c r="AH15" s="1" t="s">
        <v>42</v>
      </c>
      <c r="AI15" s="25">
        <v>3.1E-2</v>
      </c>
      <c r="AJ15" s="87"/>
      <c r="AL15" s="1" t="s">
        <v>28</v>
      </c>
      <c r="AM15" s="1" t="s">
        <v>43</v>
      </c>
      <c r="AN15" s="25">
        <v>4.0000000000000001E-3</v>
      </c>
      <c r="AO15" s="87"/>
      <c r="AQ15" s="25" t="s">
        <v>28</v>
      </c>
      <c r="AR15" s="34" t="s">
        <v>116</v>
      </c>
      <c r="AS15" s="25">
        <v>0</v>
      </c>
      <c r="AT15" s="87"/>
    </row>
    <row r="16" spans="1:50" s="25" customFormat="1" ht="48.75" x14ac:dyDescent="0.4">
      <c r="A16" s="9" t="s">
        <v>133</v>
      </c>
      <c r="B16" s="3" t="s">
        <v>134</v>
      </c>
      <c r="C16" s="89" t="s">
        <v>4</v>
      </c>
      <c r="D16" s="9" t="s">
        <v>135</v>
      </c>
      <c r="E16" s="6" t="s">
        <v>9</v>
      </c>
      <c r="F16" s="44" t="s">
        <v>24</v>
      </c>
      <c r="G16" s="16" t="s">
        <v>49</v>
      </c>
      <c r="H16" s="6" t="s">
        <v>16</v>
      </c>
      <c r="I16" s="6" t="s">
        <v>15</v>
      </c>
      <c r="J16" s="8" t="s">
        <v>17</v>
      </c>
      <c r="K16" s="113"/>
      <c r="L16" s="8" t="s">
        <v>153</v>
      </c>
      <c r="M16" s="14" t="s">
        <v>23</v>
      </c>
      <c r="N16" s="8" t="s">
        <v>25</v>
      </c>
      <c r="O16" s="36" t="s">
        <v>86</v>
      </c>
      <c r="P16" s="87"/>
      <c r="Q16" t="s">
        <v>28</v>
      </c>
      <c r="R16" s="14" t="s">
        <v>23</v>
      </c>
      <c r="S16" s="8" t="s">
        <v>25</v>
      </c>
      <c r="T16" s="36" t="s">
        <v>86</v>
      </c>
      <c r="U16" s="87"/>
      <c r="V16" t="s">
        <v>28</v>
      </c>
      <c r="W16" s="14" t="s">
        <v>23</v>
      </c>
      <c r="X16" s="8" t="s">
        <v>25</v>
      </c>
      <c r="Y16" s="36" t="s">
        <v>86</v>
      </c>
      <c r="Z16" s="87"/>
      <c r="AA16" s="1" t="s">
        <v>28</v>
      </c>
      <c r="AB16" s="15" t="s">
        <v>29</v>
      </c>
      <c r="AC16" s="16" t="s">
        <v>25</v>
      </c>
      <c r="AD16" s="36" t="s">
        <v>86</v>
      </c>
      <c r="AE16" s="87"/>
      <c r="AF16" s="1" t="s">
        <v>28</v>
      </c>
      <c r="AG16" s="15" t="s">
        <v>29</v>
      </c>
      <c r="AH16" s="16" t="s">
        <v>25</v>
      </c>
      <c r="AI16" s="36" t="s">
        <v>86</v>
      </c>
      <c r="AJ16" s="87"/>
      <c r="AK16" s="1" t="s">
        <v>28</v>
      </c>
      <c r="AL16" s="15" t="s">
        <v>29</v>
      </c>
      <c r="AM16" s="16" t="s">
        <v>25</v>
      </c>
      <c r="AN16" s="36" t="s">
        <v>86</v>
      </c>
      <c r="AO16" s="87"/>
      <c r="AP16" s="1" t="s">
        <v>28</v>
      </c>
      <c r="AQ16" s="15" t="s">
        <v>29</v>
      </c>
      <c r="AR16" s="16" t="s">
        <v>25</v>
      </c>
      <c r="AS16" s="36" t="s">
        <v>86</v>
      </c>
      <c r="AT16" s="87"/>
      <c r="AU16" t="s">
        <v>99</v>
      </c>
      <c r="AV16"/>
      <c r="AW16" t="s">
        <v>87</v>
      </c>
    </row>
    <row r="17" spans="1:50" s="25" customFormat="1" x14ac:dyDescent="0.25">
      <c r="A17" s="4">
        <v>1</v>
      </c>
      <c r="B17" s="5">
        <v>10</v>
      </c>
      <c r="C17" s="4"/>
      <c r="D17" s="27">
        <f>(B17*B18)^0.5</f>
        <v>11.220071301021219</v>
      </c>
      <c r="E17" s="6" t="s">
        <v>8</v>
      </c>
      <c r="F17" s="45">
        <f>0.065*1600*9.8*B17/1000000</f>
        <v>1.0192E-2</v>
      </c>
      <c r="G17" s="18">
        <f>10^(0.544*LOG(B17)-1.885)</f>
        <v>4.56036915951296E-2</v>
      </c>
      <c r="H17" s="10">
        <f>1600*9.8*(D17/1000000)^2/(18*0.0014)</f>
        <v>7.8331555555555585E-5</v>
      </c>
      <c r="I17" s="7">
        <f>100*H17</f>
        <v>7.8331555555555578E-3</v>
      </c>
      <c r="J17" s="61">
        <v>1</v>
      </c>
      <c r="K17" s="113"/>
      <c r="L17">
        <v>0.2</v>
      </c>
      <c r="M17" s="7">
        <f>1050*(0.4*L17/10.3)^2</f>
        <v>6.3342445093788308E-2</v>
      </c>
      <c r="N17">
        <f>J17*H17*(1-M17/F17)</f>
        <v>-4.0849264547356608E-4</v>
      </c>
      <c r="O17">
        <v>0</v>
      </c>
      <c r="P17" s="87"/>
      <c r="Q17">
        <v>0.15</v>
      </c>
      <c r="R17" s="7">
        <f>1050*(0.4*Q17/10.3)^2</f>
        <v>3.5630125365255907E-2</v>
      </c>
      <c r="S17">
        <f>J17*H17*(1-R17/F17)</f>
        <v>-1.9550705752332522E-4</v>
      </c>
      <c r="T17">
        <v>0</v>
      </c>
      <c r="U17" s="87"/>
      <c r="V17">
        <v>0.1</v>
      </c>
      <c r="W17" s="7">
        <f>1050*(0.4*V17/10.3)^2</f>
        <v>1.5835611273447077E-2</v>
      </c>
      <c r="X17">
        <f>J17*H17*(1-W17/F17)</f>
        <v>-4.3374494701724831E-5</v>
      </c>
      <c r="Y17">
        <v>0</v>
      </c>
      <c r="Z17" s="87"/>
      <c r="AA17">
        <v>7.4999999999999997E-2</v>
      </c>
      <c r="AB17" s="7">
        <f>1050*(0.4*AA17/10.3)^2</f>
        <v>8.9075313413139769E-3</v>
      </c>
      <c r="AC17">
        <f>J17*H17*(1-AB17/F17)</f>
        <v>9.8719022858353795E-6</v>
      </c>
      <c r="AD17">
        <f>AC17*$AC$2</f>
        <v>7.0090506229431184E-7</v>
      </c>
      <c r="AE17" s="87"/>
      <c r="AF17">
        <v>0.05</v>
      </c>
      <c r="AG17" s="7">
        <f>1050*(0.4*AF17/10.3)^2</f>
        <v>3.9589028183617692E-3</v>
      </c>
      <c r="AH17">
        <f>J17*H17*(1-AG17/F17)</f>
        <v>4.790504299123548E-5</v>
      </c>
      <c r="AI17">
        <f>AH17*$AH$2</f>
        <v>1.4850563327282999E-6</v>
      </c>
      <c r="AJ17" s="87"/>
      <c r="AK17">
        <v>2.5000000000000001E-2</v>
      </c>
      <c r="AL17" s="7">
        <f>1050*(0.4*AK17/10.3)^2</f>
        <v>9.8972570459044231E-4</v>
      </c>
      <c r="AM17">
        <f>J17*H17*(1-AL17/F17)</f>
        <v>7.0724927414475561E-5</v>
      </c>
      <c r="AN17">
        <f>AM17*$AM$2</f>
        <v>2.8289970965790227E-7</v>
      </c>
      <c r="AO17" s="87"/>
      <c r="AP17">
        <v>1E-3</v>
      </c>
      <c r="AQ17" s="7">
        <f>1050*(0.4*AP17/10.3)^2</f>
        <v>1.5835611273447073E-6</v>
      </c>
      <c r="AR17" s="10">
        <f>0.1*H17*(1-AQ17/F17)</f>
        <v>7.8319384950529861E-6</v>
      </c>
      <c r="AS17" s="10">
        <f>AR17*$AR$2</f>
        <v>0</v>
      </c>
      <c r="AT17" s="87"/>
      <c r="AU17">
        <f>(T17+Y17+AD17+AI17+AN17+AS17)*AW17</f>
        <v>2.7700621594515368E-5</v>
      </c>
      <c r="AV17"/>
      <c r="AW17" s="47">
        <v>11.22</v>
      </c>
    </row>
    <row r="18" spans="1:50" s="25" customFormat="1" x14ac:dyDescent="0.25">
      <c r="A18" s="4">
        <v>1.1000000000000001</v>
      </c>
      <c r="B18" s="5">
        <v>12.589</v>
      </c>
      <c r="C18" s="5">
        <v>2.589</v>
      </c>
      <c r="D18" s="27">
        <f t="shared" ref="D18:D24" si="11">(B18*B19)^0.5</f>
        <v>14.125263218786403</v>
      </c>
      <c r="E18" s="6" t="s">
        <v>5</v>
      </c>
      <c r="F18" s="45">
        <f t="shared" ref="F18:F24" si="12">0.065*1600*9.8*B18/1000000</f>
        <v>1.28307088E-2</v>
      </c>
      <c r="G18" s="18">
        <f t="shared" ref="G18:G24" si="13">10^(0.544*LOG(B18)-1.885)</f>
        <v>5.1688654951225675E-2</v>
      </c>
      <c r="H18" s="10">
        <f>1600*9.8*(D18/1000000)^2/(18*0.0014)</f>
        <v>1.2414768240000002E-4</v>
      </c>
      <c r="I18" s="7">
        <f t="shared" ref="I18:I24" si="14">100*H18</f>
        <v>1.2414768240000002E-2</v>
      </c>
      <c r="J18" s="43">
        <v>0.56200000000000006</v>
      </c>
      <c r="K18" s="113"/>
      <c r="L18">
        <v>0.2</v>
      </c>
      <c r="M18" s="7">
        <f t="shared" ref="M18:M24" si="15">1050*(0.4*L18/10.3)^2</f>
        <v>6.3342445093788308E-2</v>
      </c>
      <c r="N18">
        <f>J18*H18*(1-M18/F18)</f>
        <v>-2.7467338570719244E-4</v>
      </c>
      <c r="O18">
        <v>0</v>
      </c>
      <c r="P18" s="87"/>
      <c r="Q18">
        <v>0.15</v>
      </c>
      <c r="R18" s="7">
        <f t="shared" ref="R18:R24" si="16">1050*(0.4*Q18/10.3)^2</f>
        <v>3.5630125365255907E-2</v>
      </c>
      <c r="S18">
        <f>J18*H18*(1-R18/F18)</f>
        <v>-1.2397896805019563E-4</v>
      </c>
      <c r="T18">
        <v>0</v>
      </c>
      <c r="U18" s="87"/>
      <c r="V18">
        <v>0.1</v>
      </c>
      <c r="W18" s="7">
        <f t="shared" ref="W18:W24" si="17">1050*(0.4*V18/10.3)^2</f>
        <v>1.5835611273447077E-2</v>
      </c>
      <c r="X18">
        <f>J18*H18*(1-W18/F18)</f>
        <v>-1.6340098295198088E-5</v>
      </c>
      <c r="Y18">
        <v>0</v>
      </c>
      <c r="Z18" s="87"/>
      <c r="AA18">
        <v>7.4999999999999997E-2</v>
      </c>
      <c r="AB18" s="7">
        <f t="shared" ref="AB18:AB24" si="18">1050*(0.4*AA18/10.3)^2</f>
        <v>8.9075313413139769E-3</v>
      </c>
      <c r="AC18">
        <f>J18*H18*(1-AB18/F18)</f>
        <v>2.1333506119051109E-5</v>
      </c>
      <c r="AD18">
        <f>AC18*$AC$2</f>
        <v>1.5146789344526287E-6</v>
      </c>
      <c r="AE18" s="87"/>
      <c r="AF18">
        <v>0.05</v>
      </c>
      <c r="AG18" s="7">
        <f t="shared" ref="AG18:AG24" si="19">1050*(0.4*AF18/10.3)^2</f>
        <v>3.9589028183617692E-3</v>
      </c>
      <c r="AH18">
        <f>J18*H18*(1-AG18/F18)</f>
        <v>4.8243223557800498E-5</v>
      </c>
      <c r="AI18">
        <f>AH18*$AH$2</f>
        <v>1.4955399302918155E-6</v>
      </c>
      <c r="AJ18" s="87"/>
      <c r="AK18">
        <v>2.5000000000000001E-2</v>
      </c>
      <c r="AL18" s="7">
        <f t="shared" ref="AL18:AL24" si="20">1050*(0.4*AK18/10.3)^2</f>
        <v>9.8972570459044231E-4</v>
      </c>
      <c r="AM18">
        <f>J18*H18*(1-AL18/F18)</f>
        <v>6.4389054021050148E-5</v>
      </c>
      <c r="AN18">
        <f>AM18*$AM$2</f>
        <v>2.575562160842006E-7</v>
      </c>
      <c r="AO18" s="87"/>
      <c r="AP18">
        <v>1E-3</v>
      </c>
      <c r="AQ18" s="7">
        <f t="shared" ref="AQ18:AQ24" si="21">1050*(0.4*AP18/10.3)^2</f>
        <v>1.5835611273447073E-6</v>
      </c>
      <c r="AR18" s="10">
        <f>0.1*H18*(1-AQ18/F18)</f>
        <v>1.2413236014096018E-5</v>
      </c>
      <c r="AS18" s="10">
        <f>AR18*$AR$2</f>
        <v>0</v>
      </c>
      <c r="AT18" s="87"/>
      <c r="AU18">
        <f t="shared" ref="AU18:AU24" si="22">(T18+Y18+AD18+AI18+AN18+AS18)*AW18</f>
        <v>4.6173661892108749E-5</v>
      </c>
      <c r="AV18"/>
      <c r="AW18" s="47">
        <v>14.13</v>
      </c>
    </row>
    <row r="19" spans="1:50" s="25" customFormat="1" x14ac:dyDescent="0.25">
      <c r="A19" s="4">
        <v>1.2</v>
      </c>
      <c r="B19" s="5">
        <v>15.849</v>
      </c>
      <c r="C19" s="5">
        <v>3.26</v>
      </c>
      <c r="D19" s="27">
        <f t="shared" si="11"/>
        <v>17.783000224933925</v>
      </c>
      <c r="E19" s="6" t="s">
        <v>6</v>
      </c>
      <c r="F19" s="45">
        <f t="shared" si="12"/>
        <v>1.6153300799999999E-2</v>
      </c>
      <c r="G19" s="18">
        <f t="shared" si="13"/>
        <v>5.8586966901058878E-2</v>
      </c>
      <c r="H19" s="10">
        <f>1600*9.8*(D19/1000000)^2/(18*0.0014)</f>
        <v>1.9676850480000003E-4</v>
      </c>
      <c r="I19" s="7">
        <f t="shared" si="14"/>
        <v>1.9676850480000004E-2</v>
      </c>
      <c r="J19" s="43">
        <v>0.316</v>
      </c>
      <c r="K19" s="113"/>
      <c r="L19">
        <v>0.2</v>
      </c>
      <c r="M19" s="7">
        <f t="shared" si="15"/>
        <v>6.3342445093788308E-2</v>
      </c>
      <c r="N19">
        <f>J19*H19*(1-M19/F19)</f>
        <v>-1.8164501756147183E-4</v>
      </c>
      <c r="O19">
        <v>0</v>
      </c>
      <c r="P19" s="87"/>
      <c r="Q19">
        <v>0.15</v>
      </c>
      <c r="R19" s="7">
        <f t="shared" si="16"/>
        <v>3.5630125365255907E-2</v>
      </c>
      <c r="S19">
        <f>J19*H19*(1-R19/F19)</f>
        <v>-7.4972076589727832E-5</v>
      </c>
      <c r="T19">
        <v>0</v>
      </c>
      <c r="U19" s="87"/>
      <c r="V19">
        <v>0.1</v>
      </c>
      <c r="W19" s="7">
        <f t="shared" si="17"/>
        <v>1.5835611273447077E-2</v>
      </c>
      <c r="X19">
        <f>J19*H19*(1-W19/F19)</f>
        <v>1.2228812472320515E-6</v>
      </c>
      <c r="Y19">
        <f>X19*$X$2</f>
        <v>2.8248556811060392E-7</v>
      </c>
      <c r="Z19" s="87"/>
      <c r="AA19">
        <v>7.4999999999999997E-2</v>
      </c>
      <c r="AB19" s="7">
        <f t="shared" si="18"/>
        <v>8.9075313413139769E-3</v>
      </c>
      <c r="AC19">
        <f>J19*H19*(1-AB19/F19)</f>
        <v>2.7891116490168051E-5</v>
      </c>
      <c r="AD19">
        <f>AC19*$AC$2</f>
        <v>1.9802692708019314E-6</v>
      </c>
      <c r="AE19" s="87"/>
      <c r="AF19">
        <v>0.05</v>
      </c>
      <c r="AG19" s="7">
        <f t="shared" si="19"/>
        <v>3.9589028183617692E-3</v>
      </c>
      <c r="AH19">
        <f>J19*H19*(1-AG19/F19)</f>
        <v>4.6939855949408024E-5</v>
      </c>
      <c r="AI19">
        <f>AH19*$AH$2</f>
        <v>1.4551355344316488E-6</v>
      </c>
      <c r="AJ19" s="87"/>
      <c r="AK19">
        <v>2.5000000000000001E-2</v>
      </c>
      <c r="AL19" s="7">
        <f t="shared" si="20"/>
        <v>9.8972570459044231E-4</v>
      </c>
      <c r="AM19">
        <f>J19*H19*(1-AL19/F19)</f>
        <v>5.8369099624952015E-5</v>
      </c>
      <c r="AN19">
        <f>AM19*$AM$2</f>
        <v>2.3347639849980808E-7</v>
      </c>
      <c r="AO19" s="87"/>
      <c r="AP19">
        <v>1E-3</v>
      </c>
      <c r="AQ19" s="7">
        <f t="shared" si="21"/>
        <v>1.5835611273447073E-6</v>
      </c>
      <c r="AR19" s="10">
        <f>0.1*H19*(1-AQ19/F19)</f>
        <v>1.967492149372565E-5</v>
      </c>
      <c r="AS19" s="10">
        <f>AR19*$AR$2</f>
        <v>0</v>
      </c>
      <c r="AT19" s="87"/>
      <c r="AU19">
        <f t="shared" si="22"/>
        <v>7.0255301203386191E-5</v>
      </c>
      <c r="AV19"/>
      <c r="AW19" s="47">
        <v>17.78</v>
      </c>
    </row>
    <row r="20" spans="1:50" s="25" customFormat="1" x14ac:dyDescent="0.25">
      <c r="A20" s="4">
        <v>1.3</v>
      </c>
      <c r="B20" s="5">
        <v>19.952999999999999</v>
      </c>
      <c r="C20" s="5">
        <v>4.1040000000000001</v>
      </c>
      <c r="D20" s="27">
        <f t="shared" si="11"/>
        <v>22.387483266325404</v>
      </c>
      <c r="E20" s="6" t="s">
        <v>7</v>
      </c>
      <c r="F20" s="45">
        <f t="shared" si="12"/>
        <v>2.0336097600000002E-2</v>
      </c>
      <c r="G20" s="18">
        <f t="shared" si="13"/>
        <v>6.6405562862589834E-2</v>
      </c>
      <c r="H20" s="10">
        <f>1600*9.8*(D20/1000000)^2/(18*0.0014)</f>
        <v>3.118574088E-4</v>
      </c>
      <c r="I20" s="7">
        <f t="shared" si="14"/>
        <v>3.118574088E-2</v>
      </c>
      <c r="J20" s="43">
        <v>0.17799999999999999</v>
      </c>
      <c r="K20" s="113"/>
      <c r="L20">
        <v>0.2</v>
      </c>
      <c r="M20" s="7">
        <f t="shared" si="15"/>
        <v>6.3342445093788308E-2</v>
      </c>
      <c r="N20">
        <f>J20*H20*(1-M20/F20)</f>
        <v>-1.1739267814406066E-4</v>
      </c>
      <c r="O20">
        <v>0</v>
      </c>
      <c r="P20" s="87"/>
      <c r="Q20">
        <v>0.15</v>
      </c>
      <c r="R20" s="7">
        <f t="shared" si="16"/>
        <v>3.5630125365255907E-2</v>
      </c>
      <c r="S20">
        <f>J20*H20*(1-R20/F20)</f>
        <v>-4.174748574573408E-5</v>
      </c>
      <c r="T20">
        <v>0</v>
      </c>
      <c r="U20" s="87"/>
      <c r="V20">
        <v>0.1</v>
      </c>
      <c r="W20" s="7">
        <f t="shared" si="17"/>
        <v>1.5835611273447077E-2</v>
      </c>
      <c r="X20">
        <f>J20*H20*(1-W20/F20)</f>
        <v>1.2284794538784832E-5</v>
      </c>
      <c r="Y20">
        <f>X20*$X$2</f>
        <v>2.8377875384592965E-6</v>
      </c>
      <c r="Z20" s="87"/>
      <c r="AA20">
        <v>7.4999999999999997E-2</v>
      </c>
      <c r="AB20" s="7">
        <f t="shared" si="18"/>
        <v>8.9075313413139769E-3</v>
      </c>
      <c r="AC20">
        <f>J20*H20*(1-AB20/F20)</f>
        <v>3.1196092638366471E-5</v>
      </c>
      <c r="AD20">
        <f>AC20*$AC$2</f>
        <v>2.2149225773240191E-6</v>
      </c>
      <c r="AE20" s="87"/>
      <c r="AF20">
        <v>0.05</v>
      </c>
      <c r="AG20" s="7">
        <f t="shared" si="19"/>
        <v>3.9589028183617692E-3</v>
      </c>
      <c r="AH20">
        <f>J20*H20*(1-AG20/F20)</f>
        <v>4.4704162709496204E-5</v>
      </c>
      <c r="AI20">
        <f>AH20*$AH$2</f>
        <v>1.3858290439943823E-6</v>
      </c>
      <c r="AJ20" s="87"/>
      <c r="AK20">
        <v>2.5000000000000001E-2</v>
      </c>
      <c r="AL20" s="7">
        <f t="shared" si="20"/>
        <v>9.8972570459044231E-4</v>
      </c>
      <c r="AM20">
        <f>J20*H20*(1-AL20/F20)</f>
        <v>5.2809004752174046E-5</v>
      </c>
      <c r="AN20">
        <f>AM20*$AM$2</f>
        <v>2.1123601900869619E-7</v>
      </c>
      <c r="AO20" s="87"/>
      <c r="AP20">
        <v>1E-3</v>
      </c>
      <c r="AQ20" s="7">
        <f t="shared" si="21"/>
        <v>1.5835611273447073E-6</v>
      </c>
      <c r="AR20" s="10">
        <f>0.1*H20*(1-AQ20/F20)</f>
        <v>3.1183312462908564E-5</v>
      </c>
      <c r="AS20" s="10">
        <f>AR20*$AR$2</f>
        <v>0</v>
      </c>
      <c r="AT20" s="87"/>
      <c r="AU20">
        <f t="shared" si="22"/>
        <v>1.4888846625302739E-4</v>
      </c>
      <c r="AV20"/>
      <c r="AW20" s="47">
        <v>22.39</v>
      </c>
    </row>
    <row r="21" spans="1:50" s="25" customFormat="1" x14ac:dyDescent="0.25">
      <c r="A21" s="4">
        <v>1.4</v>
      </c>
      <c r="B21" s="5">
        <v>25.119</v>
      </c>
      <c r="C21" s="5">
        <v>5.1660000000000004</v>
      </c>
      <c r="D21" s="27">
        <f t="shared" si="11"/>
        <v>28.184004985097488</v>
      </c>
      <c r="E21" s="6" t="s">
        <v>10</v>
      </c>
      <c r="F21" s="45">
        <f t="shared" si="12"/>
        <v>2.5601284800000002E-2</v>
      </c>
      <c r="G21" s="18">
        <f t="shared" si="13"/>
        <v>7.5266422877521957E-2</v>
      </c>
      <c r="H21" s="10">
        <f>1600*9.8*(D21/1000000)^2/(18*0.0014)</f>
        <v>4.9425484080000011E-4</v>
      </c>
      <c r="I21" s="7">
        <f t="shared" si="14"/>
        <v>4.9425484080000012E-2</v>
      </c>
      <c r="J21" s="43">
        <v>0.1</v>
      </c>
      <c r="K21" s="113"/>
      <c r="L21">
        <v>0.2</v>
      </c>
      <c r="M21" s="7">
        <f t="shared" si="15"/>
        <v>6.3342445093788308E-2</v>
      </c>
      <c r="N21">
        <f>J21*H21*(1-M21/F21)</f>
        <v>-7.2862558728355772E-5</v>
      </c>
      <c r="O21">
        <v>0</v>
      </c>
      <c r="P21" s="87"/>
      <c r="Q21">
        <v>0.15</v>
      </c>
      <c r="R21" s="7">
        <f t="shared" si="16"/>
        <v>3.5630125365255907E-2</v>
      </c>
      <c r="S21">
        <f>J21*H21*(1-R21/F21)</f>
        <v>-1.9361539999700096E-5</v>
      </c>
      <c r="T21">
        <v>0</v>
      </c>
      <c r="U21" s="87"/>
      <c r="V21">
        <v>0.1</v>
      </c>
      <c r="W21" s="7">
        <f t="shared" si="17"/>
        <v>1.5835611273447077E-2</v>
      </c>
      <c r="X21">
        <f>J21*H21*(1-W21/F21)</f>
        <v>1.8853473377911066E-5</v>
      </c>
      <c r="Y21">
        <f>X21*$X$2</f>
        <v>4.3551523502974564E-6</v>
      </c>
      <c r="Z21" s="87"/>
      <c r="AA21">
        <v>7.4999999999999997E-2</v>
      </c>
      <c r="AB21" s="7">
        <f t="shared" si="18"/>
        <v>8.9075313413139769E-3</v>
      </c>
      <c r="AC21">
        <f>J21*H21*(1-AB21/F21)</f>
        <v>3.2228728060074987E-5</v>
      </c>
      <c r="AD21">
        <f>AC21*$AC$2</f>
        <v>2.2882396922653237E-6</v>
      </c>
      <c r="AE21" s="87"/>
      <c r="AF21">
        <v>0.05</v>
      </c>
      <c r="AG21" s="7">
        <f t="shared" si="19"/>
        <v>3.9589028183617692E-3</v>
      </c>
      <c r="AH21">
        <f>J21*H21*(1-AG21/F21)</f>
        <v>4.1782481404477772E-5</v>
      </c>
      <c r="AI21">
        <f>AH21*$AH$2</f>
        <v>1.2952569235388108E-6</v>
      </c>
      <c r="AJ21" s="87"/>
      <c r="AK21">
        <v>2.5000000000000001E-2</v>
      </c>
      <c r="AL21" s="7">
        <f t="shared" si="20"/>
        <v>9.8972570459044231E-4</v>
      </c>
      <c r="AM21">
        <f>J21*H21*(1-AL21/F21)</f>
        <v>4.7514733411119446E-5</v>
      </c>
      <c r="AN21">
        <f>AM21*$AM$2</f>
        <v>1.9005893364447779E-7</v>
      </c>
      <c r="AO21" s="87"/>
      <c r="AP21">
        <v>1E-3</v>
      </c>
      <c r="AQ21" s="7">
        <f t="shared" si="21"/>
        <v>1.5835611273447073E-6</v>
      </c>
      <c r="AR21" s="10">
        <f>0.1*H21*(1-AQ21/F21)</f>
        <v>4.9422426878929803E-5</v>
      </c>
      <c r="AS21" s="10">
        <f>AR21*$AR$2</f>
        <v>0</v>
      </c>
      <c r="AT21" s="87"/>
      <c r="AU21">
        <f t="shared" si="22"/>
        <v>2.2906698861484417E-4</v>
      </c>
      <c r="AV21"/>
      <c r="AW21" s="47">
        <v>28.18</v>
      </c>
    </row>
    <row r="22" spans="1:50" s="25" customFormat="1" x14ac:dyDescent="0.25">
      <c r="A22" s="4">
        <v>1.5</v>
      </c>
      <c r="B22" s="5">
        <v>31.623000000000001</v>
      </c>
      <c r="C22" s="5">
        <v>6.5039999999999996</v>
      </c>
      <c r="D22" s="27">
        <f t="shared" si="11"/>
        <v>35.481590339216758</v>
      </c>
      <c r="E22" s="6" t="s">
        <v>11</v>
      </c>
      <c r="F22" s="45">
        <f t="shared" si="12"/>
        <v>3.2230161600000001E-2</v>
      </c>
      <c r="G22" s="18">
        <f t="shared" si="13"/>
        <v>8.5310339253953912E-2</v>
      </c>
      <c r="H22" s="10">
        <f>1600*9.8*(D22/1000000)^2/(18*0.0014)</f>
        <v>7.8334246853333357E-4</v>
      </c>
      <c r="I22" s="7">
        <f t="shared" si="14"/>
        <v>7.8334246853333359E-2</v>
      </c>
      <c r="J22" s="43">
        <v>5.6000000000000001E-2</v>
      </c>
      <c r="K22" s="113"/>
      <c r="L22">
        <v>0.2</v>
      </c>
      <c r="M22" s="7">
        <f t="shared" si="15"/>
        <v>6.3342445093788308E-2</v>
      </c>
      <c r="N22">
        <f>J22*H22*(1-M22/F22)</f>
        <v>-4.234567925371646E-5</v>
      </c>
      <c r="O22">
        <v>0</v>
      </c>
      <c r="P22" s="87"/>
      <c r="Q22">
        <v>0.15</v>
      </c>
      <c r="R22" s="7">
        <f t="shared" si="16"/>
        <v>3.5630125365255907E-2</v>
      </c>
      <c r="S22">
        <f>J22*H22*(1-R22/F22)</f>
        <v>-4.6275541011488159E-6</v>
      </c>
      <c r="T22">
        <v>0</v>
      </c>
      <c r="U22" s="87"/>
      <c r="V22">
        <v>0.1</v>
      </c>
      <c r="W22" s="7">
        <f t="shared" si="17"/>
        <v>1.5835611273447077E-2</v>
      </c>
      <c r="X22">
        <f>J22*H22*(1-W22/F22)</f>
        <v>2.2313963864970895E-5</v>
      </c>
      <c r="Y22">
        <f>X22*$X$2</f>
        <v>5.1545256528082768E-6</v>
      </c>
      <c r="Z22" s="87"/>
      <c r="AA22">
        <v>7.4999999999999997E-2</v>
      </c>
      <c r="AB22" s="7">
        <f t="shared" si="18"/>
        <v>8.9075313413139769E-3</v>
      </c>
      <c r="AC22">
        <f>J22*H22*(1-AB22/F22)</f>
        <v>3.1743495153112804E-5</v>
      </c>
      <c r="AD22">
        <f>AC22*$AC$2</f>
        <v>2.2537881558710089E-6</v>
      </c>
      <c r="AE22" s="87"/>
      <c r="AF22">
        <v>0.05</v>
      </c>
      <c r="AG22" s="7">
        <f t="shared" si="19"/>
        <v>3.9589028183617692E-3</v>
      </c>
      <c r="AH22">
        <f>J22*H22*(1-AG22/F22)</f>
        <v>3.8478874644642736E-5</v>
      </c>
      <c r="AI22">
        <f>AH22*$AH$2</f>
        <v>1.1928451139839248E-6</v>
      </c>
      <c r="AJ22" s="87"/>
      <c r="AK22">
        <v>2.5000000000000001E-2</v>
      </c>
      <c r="AL22" s="7">
        <f t="shared" si="20"/>
        <v>9.8972570459044231E-4</v>
      </c>
      <c r="AM22">
        <f>J22*H22*(1-AL22/F22)</f>
        <v>4.2520102339560687E-5</v>
      </c>
      <c r="AN22">
        <f>AM22*$AM$2</f>
        <v>1.7008040935824276E-7</v>
      </c>
      <c r="AO22" s="87"/>
      <c r="AP22">
        <v>1E-3</v>
      </c>
      <c r="AQ22" s="7">
        <f t="shared" si="21"/>
        <v>1.5835611273447073E-6</v>
      </c>
      <c r="AR22" s="10">
        <f>0.1*H22*(1-AQ22/F22)</f>
        <v>7.8330398065052495E-5</v>
      </c>
      <c r="AS22" s="10">
        <f>AR22*$AR$2</f>
        <v>0</v>
      </c>
      <c r="AT22" s="87"/>
      <c r="AU22">
        <f t="shared" si="22"/>
        <v>3.1120357150012112E-4</v>
      </c>
      <c r="AV22"/>
      <c r="AW22" s="47">
        <v>35.479999999999997</v>
      </c>
    </row>
    <row r="23" spans="1:50" s="25" customFormat="1" x14ac:dyDescent="0.25">
      <c r="A23" s="4">
        <v>1.6</v>
      </c>
      <c r="B23" s="5">
        <v>39.811</v>
      </c>
      <c r="C23" s="5">
        <v>8.1880000000000006</v>
      </c>
      <c r="D23" s="27">
        <f t="shared" si="11"/>
        <v>44.668641226256256</v>
      </c>
      <c r="E23" s="6" t="s">
        <v>12</v>
      </c>
      <c r="F23" s="45">
        <f t="shared" si="12"/>
        <v>4.0575371200000002E-2</v>
      </c>
      <c r="G23" s="18">
        <f t="shared" si="13"/>
        <v>9.6694479312890325E-2</v>
      </c>
      <c r="H23" s="10">
        <f>1600*9.8*(D23/1000000)^2/(18*0.0014)</f>
        <v>1.2415122278222224E-3</v>
      </c>
      <c r="I23" s="7">
        <f t="shared" si="14"/>
        <v>0.12415122278222224</v>
      </c>
      <c r="J23" s="43">
        <v>0</v>
      </c>
      <c r="K23" s="113"/>
      <c r="L23">
        <v>0.2</v>
      </c>
      <c r="M23" s="7">
        <f t="shared" si="15"/>
        <v>6.3342445093788308E-2</v>
      </c>
      <c r="N23">
        <f>J23*H23*(1-M23/F23)</f>
        <v>0</v>
      </c>
      <c r="O23">
        <v>0</v>
      </c>
      <c r="P23" s="87"/>
      <c r="Q23">
        <v>0.15</v>
      </c>
      <c r="R23" s="7">
        <f t="shared" si="16"/>
        <v>3.5630125365255907E-2</v>
      </c>
      <c r="S23">
        <f>J23*H23*(1-R23/F23)</f>
        <v>0</v>
      </c>
      <c r="T23">
        <f>S23*$S$2</f>
        <v>0</v>
      </c>
      <c r="U23" s="87"/>
      <c r="V23">
        <v>0.1</v>
      </c>
      <c r="W23" s="7">
        <f t="shared" si="17"/>
        <v>1.5835611273447077E-2</v>
      </c>
      <c r="X23">
        <f>J23*H23*(1-W23/F23)</f>
        <v>0</v>
      </c>
      <c r="Y23">
        <f>X23*$X$2</f>
        <v>0</v>
      </c>
      <c r="Z23" s="87"/>
      <c r="AA23">
        <v>7.4999999999999997E-2</v>
      </c>
      <c r="AB23" s="7">
        <f t="shared" si="18"/>
        <v>8.9075313413139769E-3</v>
      </c>
      <c r="AC23">
        <f>J23*H23*(1-AB23/F23)</f>
        <v>0</v>
      </c>
      <c r="AD23">
        <f>AC23*$AC$2</f>
        <v>0</v>
      </c>
      <c r="AE23" s="87"/>
      <c r="AF23">
        <v>0.05</v>
      </c>
      <c r="AG23" s="7">
        <f t="shared" si="19"/>
        <v>3.9589028183617692E-3</v>
      </c>
      <c r="AH23">
        <f>J23*H23*(1-AG23/F23)</f>
        <v>0</v>
      </c>
      <c r="AI23">
        <f>AH23*$AH$2</f>
        <v>0</v>
      </c>
      <c r="AJ23" s="87"/>
      <c r="AK23">
        <v>2.5000000000000001E-2</v>
      </c>
      <c r="AL23" s="7">
        <f t="shared" si="20"/>
        <v>9.8972570459044231E-4</v>
      </c>
      <c r="AM23">
        <f>J23*H23*(1-AL23/F23)</f>
        <v>0</v>
      </c>
      <c r="AN23">
        <f>AM23*$AM$2</f>
        <v>0</v>
      </c>
      <c r="AO23" s="87"/>
      <c r="AP23">
        <v>1E-3</v>
      </c>
      <c r="AQ23" s="7">
        <f t="shared" si="21"/>
        <v>1.5835611273447073E-6</v>
      </c>
      <c r="AR23" s="10">
        <f>0.1*H23*(1-AQ23/F23)</f>
        <v>1.2414637745254329E-4</v>
      </c>
      <c r="AS23" s="10">
        <f>AR23*$AR$2</f>
        <v>0</v>
      </c>
      <c r="AT23" s="87"/>
      <c r="AU23">
        <f t="shared" si="22"/>
        <v>0</v>
      </c>
      <c r="AV23"/>
      <c r="AW23" s="47">
        <v>44.67</v>
      </c>
    </row>
    <row r="24" spans="1:50" s="25" customFormat="1" x14ac:dyDescent="0.25">
      <c r="A24" s="4">
        <v>1.7</v>
      </c>
      <c r="B24" s="5">
        <v>50.119</v>
      </c>
      <c r="C24" s="5">
        <v>10.308</v>
      </c>
      <c r="D24" s="27">
        <f t="shared" si="11"/>
        <v>56.234406051811376</v>
      </c>
      <c r="E24" s="6" t="s">
        <v>13</v>
      </c>
      <c r="F24" s="45">
        <f t="shared" si="12"/>
        <v>5.1081284800000001E-2</v>
      </c>
      <c r="G24" s="18">
        <f t="shared" si="13"/>
        <v>0.10959766563810838</v>
      </c>
      <c r="H24" s="10">
        <f>1600*9.8*(D24/1000000)^2/(18*0.0014)</f>
        <v>1.9676585749333333E-3</v>
      </c>
      <c r="I24" s="7">
        <f t="shared" si="14"/>
        <v>0.19676585749333333</v>
      </c>
      <c r="J24" s="43">
        <v>0</v>
      </c>
      <c r="K24" s="113"/>
      <c r="L24">
        <v>0.2</v>
      </c>
      <c r="M24" s="7">
        <f t="shared" si="15"/>
        <v>6.3342445093788308E-2</v>
      </c>
      <c r="N24">
        <f>J24*H24*(1-M24/F24)</f>
        <v>0</v>
      </c>
      <c r="O24">
        <v>0</v>
      </c>
      <c r="P24" s="87"/>
      <c r="Q24">
        <v>0.15</v>
      </c>
      <c r="R24" s="7">
        <f t="shared" si="16"/>
        <v>3.5630125365255907E-2</v>
      </c>
      <c r="S24">
        <f>J24*H24*(1-R24/F24)</f>
        <v>0</v>
      </c>
      <c r="T24">
        <f>S24*$S$2</f>
        <v>0</v>
      </c>
      <c r="U24" s="87"/>
      <c r="V24">
        <v>0.1</v>
      </c>
      <c r="W24" s="7">
        <f t="shared" si="17"/>
        <v>1.5835611273447077E-2</v>
      </c>
      <c r="X24">
        <f>J24*H24*(1-W24/F24)</f>
        <v>0</v>
      </c>
      <c r="Y24">
        <f>X24*$X$2</f>
        <v>0</v>
      </c>
      <c r="Z24" s="87"/>
      <c r="AA24">
        <v>7.4999999999999997E-2</v>
      </c>
      <c r="AB24" s="7">
        <f t="shared" si="18"/>
        <v>8.9075313413139769E-3</v>
      </c>
      <c r="AC24">
        <f>J24*H24*(1-AB24/F24)</f>
        <v>0</v>
      </c>
      <c r="AD24">
        <f>AC24*$AC$2</f>
        <v>0</v>
      </c>
      <c r="AE24" s="87"/>
      <c r="AF24">
        <v>0.05</v>
      </c>
      <c r="AG24" s="7">
        <f t="shared" si="19"/>
        <v>3.9589028183617692E-3</v>
      </c>
      <c r="AH24">
        <f>J24*H24*(1-AG24/F24)</f>
        <v>0</v>
      </c>
      <c r="AI24">
        <f>AH24*$AH$2</f>
        <v>0</v>
      </c>
      <c r="AJ24" s="87"/>
      <c r="AK24">
        <v>2.5000000000000001E-2</v>
      </c>
      <c r="AL24" s="7">
        <f t="shared" si="20"/>
        <v>9.8972570459044231E-4</v>
      </c>
      <c r="AM24">
        <f>J24*H24*(1-AL24/F24)</f>
        <v>0</v>
      </c>
      <c r="AN24">
        <f>AM24*$AM$2</f>
        <v>0</v>
      </c>
      <c r="AO24" s="87"/>
      <c r="AP24">
        <v>1E-3</v>
      </c>
      <c r="AQ24" s="7">
        <f t="shared" si="21"/>
        <v>1.5835611273447073E-6</v>
      </c>
      <c r="AR24" s="10">
        <f>0.1*H24*(1-AQ24/F24)</f>
        <v>1.9675975759266844E-4</v>
      </c>
      <c r="AS24" s="10">
        <f>AR24*$AR$2</f>
        <v>0</v>
      </c>
      <c r="AT24" s="87"/>
      <c r="AU24">
        <f t="shared" si="22"/>
        <v>0</v>
      </c>
      <c r="AV24"/>
      <c r="AW24" s="47">
        <v>56.23</v>
      </c>
    </row>
    <row r="25" spans="1:50" s="25" customFormat="1" x14ac:dyDescent="0.25">
      <c r="A25" s="4">
        <v>1.8</v>
      </c>
      <c r="B25" s="5">
        <v>63.095999999999997</v>
      </c>
      <c r="C25" s="5">
        <v>12.977</v>
      </c>
      <c r="D25" s="5"/>
      <c r="E25" s="6"/>
      <c r="F25"/>
      <c r="G25" s="18">
        <v>0.124</v>
      </c>
      <c r="H25"/>
      <c r="I25" s="11" t="s">
        <v>18</v>
      </c>
      <c r="J25" s="11">
        <f>SUM(J17:J24)</f>
        <v>2.2120000000000002</v>
      </c>
      <c r="K25" s="113"/>
      <c r="L25"/>
      <c r="M25"/>
      <c r="N25"/>
      <c r="O25" s="46">
        <v>0</v>
      </c>
      <c r="P25" s="87"/>
      <c r="Q25"/>
      <c r="R25"/>
      <c r="S25"/>
      <c r="T25" s="46">
        <f>SUM(T23:T24)</f>
        <v>0</v>
      </c>
      <c r="U25" s="87"/>
      <c r="V25"/>
      <c r="W25"/>
      <c r="X25"/>
      <c r="Y25" s="46">
        <f>SUM(Y19:Y24)</f>
        <v>1.2629951109675634E-5</v>
      </c>
      <c r="Z25" s="87"/>
      <c r="AA25"/>
      <c r="AB25"/>
      <c r="AC25"/>
      <c r="AD25" s="46">
        <f>SUM(AD17:AD24)</f>
        <v>1.0952803693009224E-5</v>
      </c>
      <c r="AE25" s="87"/>
      <c r="AF25"/>
      <c r="AG25"/>
      <c r="AH25"/>
      <c r="AI25" s="46">
        <f>SUM(AI17:AI24)</f>
        <v>8.3096628789688817E-6</v>
      </c>
      <c r="AJ25" s="87"/>
      <c r="AK25"/>
      <c r="AL25"/>
      <c r="AM25"/>
      <c r="AN25" s="46">
        <f>SUM(AN17:AN24)</f>
        <v>1.3453076862533276E-6</v>
      </c>
      <c r="AO25" s="87"/>
      <c r="AP25"/>
      <c r="AQ25"/>
      <c r="AR25"/>
      <c r="AS25" s="46">
        <f>SUM(AS17:AS24)</f>
        <v>0</v>
      </c>
      <c r="AT25" s="87"/>
      <c r="AU25" s="11" t="s">
        <v>89</v>
      </c>
      <c r="AV25" s="55">
        <f>SUM(AU17:AU24)</f>
        <v>8.3328861105800298E-4</v>
      </c>
      <c r="AW25" s="87" t="s">
        <v>154</v>
      </c>
      <c r="AX25" s="87"/>
    </row>
    <row r="26" spans="1:50" s="25" customFormat="1" x14ac:dyDescent="0.25">
      <c r="A26"/>
      <c r="B26"/>
      <c r="C26"/>
      <c r="D26"/>
      <c r="E26" s="6"/>
      <c r="F26" t="s">
        <v>52</v>
      </c>
      <c r="G26" t="s">
        <v>56</v>
      </c>
      <c r="H26"/>
      <c r="I26"/>
      <c r="J26"/>
      <c r="K26" s="113"/>
      <c r="L26"/>
      <c r="M26"/>
      <c r="N26"/>
      <c r="O26" s="46">
        <v>0</v>
      </c>
      <c r="P26" s="87"/>
      <c r="Q26"/>
      <c r="R26"/>
      <c r="S26"/>
      <c r="T26" s="25">
        <f>100*T25/$AV$13</f>
        <v>0</v>
      </c>
      <c r="U26" s="87"/>
      <c r="V26"/>
      <c r="W26"/>
      <c r="X26"/>
      <c r="Y26" s="25">
        <f>100*Y25/$AV$13</f>
        <v>20.465260295337128</v>
      </c>
      <c r="Z26" s="87"/>
      <c r="AA26"/>
      <c r="AB26"/>
      <c r="AC26"/>
      <c r="AD26" s="25">
        <f>100*AD25/$AV$13</f>
        <v>17.747652116360431</v>
      </c>
      <c r="AE26" s="87"/>
      <c r="AF26"/>
      <c r="AG26"/>
      <c r="AH26"/>
      <c r="AI26" s="25">
        <f>100*AI25/$AV$13</f>
        <v>13.464772136316382</v>
      </c>
      <c r="AJ26" s="87"/>
      <c r="AK26"/>
      <c r="AL26"/>
      <c r="AM26"/>
      <c r="AN26" s="25">
        <f>100*AN25/$AV$13</f>
        <v>2.1799032899977053</v>
      </c>
      <c r="AO26" s="87"/>
      <c r="AP26"/>
      <c r="AQ26"/>
      <c r="AR26" t="s">
        <v>92</v>
      </c>
      <c r="AS26" s="25">
        <f>100*AS25/$AV$13</f>
        <v>0</v>
      </c>
      <c r="AT26" s="87"/>
      <c r="AU26" s="11" t="s">
        <v>90</v>
      </c>
      <c r="AV26" s="82">
        <f>O25+T25+Y25+AD25+AI25+AN25+AT25</f>
        <v>3.323772536790707E-5</v>
      </c>
      <c r="AW26" s="106">
        <f>AV25/AV26</f>
        <v>25.070566707991123</v>
      </c>
      <c r="AX26" s="87" t="s">
        <v>91</v>
      </c>
    </row>
    <row r="27" spans="1:50" s="25" customFormat="1" x14ac:dyDescent="0.25">
      <c r="A27" t="s">
        <v>15</v>
      </c>
      <c r="B27" s="6" t="s">
        <v>84</v>
      </c>
      <c r="E27" s="34"/>
    </row>
    <row r="28" spans="1:50" s="25" customFormat="1" x14ac:dyDescent="0.25">
      <c r="A28" s="107"/>
      <c r="B28" s="5"/>
      <c r="C28" s="107"/>
      <c r="D28" s="5"/>
      <c r="E28" s="107"/>
      <c r="F28" s="5"/>
      <c r="G28" s="107"/>
      <c r="H28" s="5"/>
      <c r="I28" s="107"/>
      <c r="J28" s="5"/>
      <c r="L28" s="107"/>
      <c r="M28" s="5"/>
      <c r="N28" s="107"/>
      <c r="O28" s="5"/>
      <c r="Q28" s="107"/>
      <c r="R28" s="5"/>
      <c r="S28" s="107"/>
      <c r="T28" s="5"/>
    </row>
    <row r="29" spans="1:50" s="25" customFormat="1" x14ac:dyDescent="0.25">
      <c r="C29" s="5"/>
      <c r="E29" s="34"/>
    </row>
    <row r="30" spans="1:50" s="25" customFormat="1" x14ac:dyDescent="0.25">
      <c r="C30" s="5"/>
      <c r="E30" s="34"/>
    </row>
    <row r="31" spans="1:50" s="25" customFormat="1" x14ac:dyDescent="0.25">
      <c r="C31" s="5"/>
      <c r="E31" s="34"/>
    </row>
    <row r="32" spans="1:50" s="25" customFormat="1" x14ac:dyDescent="0.25">
      <c r="C32" s="5"/>
      <c r="E32" s="34"/>
    </row>
    <row r="33" spans="3:5" s="25" customFormat="1" x14ac:dyDescent="0.25">
      <c r="C33" s="5"/>
      <c r="E33" s="34"/>
    </row>
    <row r="34" spans="3:5" s="25" customFormat="1" x14ac:dyDescent="0.25">
      <c r="C34" s="5"/>
      <c r="E34" s="34"/>
    </row>
    <row r="35" spans="3:5" s="25" customFormat="1" x14ac:dyDescent="0.25">
      <c r="C35" s="5"/>
      <c r="E35" s="34"/>
    </row>
    <row r="36" spans="3:5" s="25" customFormat="1" x14ac:dyDescent="0.25">
      <c r="C36" s="5"/>
      <c r="E36" s="34"/>
    </row>
    <row r="37" spans="3:5" s="25" customFormat="1" x14ac:dyDescent="0.25">
      <c r="C37" s="5"/>
      <c r="E37" s="34"/>
    </row>
    <row r="38" spans="3:5" s="25" customFormat="1" x14ac:dyDescent="0.25">
      <c r="E38" s="34"/>
    </row>
    <row r="39" spans="3:5" s="25" customFormat="1" x14ac:dyDescent="0.25">
      <c r="E39" s="34"/>
    </row>
    <row r="40" spans="3:5" s="25" customFormat="1" x14ac:dyDescent="0.25">
      <c r="E40" s="34"/>
    </row>
    <row r="41" spans="3:5" s="25" customFormat="1" x14ac:dyDescent="0.25">
      <c r="E41" s="34"/>
    </row>
    <row r="42" spans="3:5" s="25" customFormat="1" x14ac:dyDescent="0.25">
      <c r="E42" s="34"/>
    </row>
    <row r="43" spans="3:5" s="25" customFormat="1" x14ac:dyDescent="0.25">
      <c r="E43" s="34"/>
    </row>
    <row r="44" spans="3:5" s="25" customFormat="1" x14ac:dyDescent="0.25">
      <c r="E44" s="34"/>
    </row>
    <row r="45" spans="3:5" s="25" customFormat="1" x14ac:dyDescent="0.25">
      <c r="E45" s="34"/>
    </row>
    <row r="46" spans="3:5" s="25" customFormat="1" x14ac:dyDescent="0.25">
      <c r="E46" s="34"/>
    </row>
    <row r="47" spans="3:5" s="25" customFormat="1" x14ac:dyDescent="0.25">
      <c r="E47" s="34"/>
    </row>
    <row r="48" spans="3:5" s="25" customFormat="1" x14ac:dyDescent="0.25">
      <c r="E48" s="34"/>
    </row>
    <row r="49" spans="5:5" s="25" customFormat="1" x14ac:dyDescent="0.25">
      <c r="E49" s="34"/>
    </row>
    <row r="50" spans="5:5" s="25" customFormat="1" x14ac:dyDescent="0.25">
      <c r="E50" s="34"/>
    </row>
    <row r="51" spans="5:5" s="25" customFormat="1" x14ac:dyDescent="0.25">
      <c r="E51" s="34"/>
    </row>
    <row r="52" spans="5:5" s="25" customFormat="1" x14ac:dyDescent="0.25">
      <c r="E52" s="34"/>
    </row>
    <row r="53" spans="5:5" s="25" customFormat="1" x14ac:dyDescent="0.25">
      <c r="E53" s="34"/>
    </row>
    <row r="54" spans="5:5" s="25" customFormat="1" x14ac:dyDescent="0.25">
      <c r="E54" s="34"/>
    </row>
    <row r="55" spans="5:5" s="25" customFormat="1" x14ac:dyDescent="0.25">
      <c r="E55" s="34"/>
    </row>
    <row r="56" spans="5:5" s="25" customFormat="1" x14ac:dyDescent="0.25">
      <c r="E56" s="34"/>
    </row>
    <row r="57" spans="5:5" s="25" customFormat="1" x14ac:dyDescent="0.25">
      <c r="E57" s="34"/>
    </row>
    <row r="58" spans="5:5" s="25" customFormat="1" x14ac:dyDescent="0.25">
      <c r="E58" s="34"/>
    </row>
    <row r="59" spans="5:5" s="25" customFormat="1" x14ac:dyDescent="0.25">
      <c r="E59" s="34"/>
    </row>
    <row r="60" spans="5:5" s="25" customFormat="1" x14ac:dyDescent="0.25">
      <c r="E60" s="34"/>
    </row>
    <row r="61" spans="5:5" s="25" customFormat="1" x14ac:dyDescent="0.25">
      <c r="E61" s="34"/>
    </row>
    <row r="62" spans="5:5" s="25" customFormat="1" x14ac:dyDescent="0.25">
      <c r="E62" s="34"/>
    </row>
    <row r="63" spans="5:5" s="25" customFormat="1" x14ac:dyDescent="0.25">
      <c r="E63" s="34"/>
    </row>
    <row r="64" spans="5:5" s="25" customFormat="1" x14ac:dyDescent="0.25">
      <c r="E64" s="34"/>
    </row>
    <row r="65" spans="5:5" s="25" customFormat="1" x14ac:dyDescent="0.25">
      <c r="E65" s="34"/>
    </row>
    <row r="66" spans="5:5" s="25" customFormat="1" x14ac:dyDescent="0.25">
      <c r="E66" s="34"/>
    </row>
    <row r="67" spans="5:5" s="25" customFormat="1" x14ac:dyDescent="0.25">
      <c r="E67" s="34"/>
    </row>
    <row r="68" spans="5:5" s="25" customFormat="1" x14ac:dyDescent="0.25">
      <c r="E68" s="34"/>
    </row>
    <row r="69" spans="5:5" s="25" customFormat="1" x14ac:dyDescent="0.25">
      <c r="E69" s="34"/>
    </row>
    <row r="70" spans="5:5" s="25" customFormat="1" x14ac:dyDescent="0.25">
      <c r="E70" s="34"/>
    </row>
    <row r="71" spans="5:5" s="25" customFormat="1" x14ac:dyDescent="0.25">
      <c r="E71" s="34"/>
    </row>
    <row r="72" spans="5:5" s="25" customFormat="1" x14ac:dyDescent="0.25">
      <c r="E72" s="34"/>
    </row>
    <row r="73" spans="5:5" s="25" customFormat="1" x14ac:dyDescent="0.25">
      <c r="E73" s="34"/>
    </row>
    <row r="74" spans="5:5" s="25" customFormat="1" x14ac:dyDescent="0.25">
      <c r="E74" s="34"/>
    </row>
    <row r="75" spans="5:5" s="25" customFormat="1" x14ac:dyDescent="0.25">
      <c r="E75" s="34"/>
    </row>
    <row r="76" spans="5:5" s="25" customFormat="1" x14ac:dyDescent="0.25">
      <c r="E76" s="34"/>
    </row>
    <row r="77" spans="5:5" s="25" customFormat="1" x14ac:dyDescent="0.25">
      <c r="E77" s="34"/>
    </row>
    <row r="78" spans="5:5" s="25" customFormat="1" x14ac:dyDescent="0.25">
      <c r="E78" s="34"/>
    </row>
    <row r="79" spans="5:5" s="25" customFormat="1" x14ac:dyDescent="0.25">
      <c r="E79" s="34"/>
    </row>
    <row r="80" spans="5:5" s="25" customFormat="1" x14ac:dyDescent="0.25">
      <c r="E80" s="34"/>
    </row>
    <row r="81" spans="5:5" s="25" customFormat="1" x14ac:dyDescent="0.25">
      <c r="E81" s="34"/>
    </row>
    <row r="82" spans="5:5" s="25" customFormat="1" x14ac:dyDescent="0.25">
      <c r="E82" s="34"/>
    </row>
    <row r="83" spans="5:5" s="25" customFormat="1" x14ac:dyDescent="0.25">
      <c r="E83" s="34"/>
    </row>
    <row r="84" spans="5:5" s="25" customFormat="1" x14ac:dyDescent="0.25">
      <c r="E84" s="34"/>
    </row>
    <row r="85" spans="5:5" s="25" customFormat="1" x14ac:dyDescent="0.25">
      <c r="E85" s="34"/>
    </row>
    <row r="86" spans="5:5" s="25" customFormat="1" x14ac:dyDescent="0.25">
      <c r="E86" s="34"/>
    </row>
    <row r="87" spans="5:5" s="25" customFormat="1" x14ac:dyDescent="0.25">
      <c r="E87" s="34"/>
    </row>
    <row r="88" spans="5:5" s="25" customFormat="1" x14ac:dyDescent="0.25">
      <c r="E88" s="34"/>
    </row>
    <row r="89" spans="5:5" s="25" customFormat="1" x14ac:dyDescent="0.25">
      <c r="E89" s="34"/>
    </row>
    <row r="90" spans="5:5" s="25" customFormat="1" x14ac:dyDescent="0.25">
      <c r="E90" s="34"/>
    </row>
    <row r="91" spans="5:5" s="25" customFormat="1" x14ac:dyDescent="0.25">
      <c r="E91" s="34"/>
    </row>
    <row r="92" spans="5:5" s="25" customFormat="1" x14ac:dyDescent="0.25">
      <c r="E92" s="34"/>
    </row>
    <row r="93" spans="5:5" s="25" customFormat="1" x14ac:dyDescent="0.25">
      <c r="E93" s="34"/>
    </row>
    <row r="94" spans="5:5" s="25" customFormat="1" x14ac:dyDescent="0.25">
      <c r="E94" s="34"/>
    </row>
    <row r="95" spans="5:5" s="25" customFormat="1" x14ac:dyDescent="0.25">
      <c r="E95" s="34"/>
    </row>
    <row r="96" spans="5:5" s="25" customFormat="1" x14ac:dyDescent="0.25">
      <c r="E96" s="34"/>
    </row>
    <row r="97" spans="5:5" s="25" customFormat="1" x14ac:dyDescent="0.25">
      <c r="E97" s="34"/>
    </row>
    <row r="98" spans="5:5" s="25" customFormat="1" x14ac:dyDescent="0.25">
      <c r="E98" s="34"/>
    </row>
    <row r="99" spans="5:5" s="25" customFormat="1" x14ac:dyDescent="0.25">
      <c r="E99" s="34"/>
    </row>
    <row r="100" spans="5:5" s="25" customFormat="1" x14ac:dyDescent="0.25">
      <c r="E100" s="34"/>
    </row>
    <row r="101" spans="5:5" s="25" customFormat="1" x14ac:dyDescent="0.25">
      <c r="E101" s="34"/>
    </row>
    <row r="102" spans="5:5" s="25" customFormat="1" x14ac:dyDescent="0.25">
      <c r="E102" s="34"/>
    </row>
    <row r="103" spans="5:5" s="25" customFormat="1" x14ac:dyDescent="0.25">
      <c r="E103" s="34"/>
    </row>
    <row r="104" spans="5:5" s="25" customFormat="1" x14ac:dyDescent="0.25">
      <c r="E104" s="34"/>
    </row>
    <row r="105" spans="5:5" s="25" customFormat="1" x14ac:dyDescent="0.25">
      <c r="E105" s="34"/>
    </row>
    <row r="106" spans="5:5" s="25" customFormat="1" x14ac:dyDescent="0.25">
      <c r="E106" s="34"/>
    </row>
    <row r="107" spans="5:5" s="25" customFormat="1" x14ac:dyDescent="0.25">
      <c r="E107" s="34"/>
    </row>
    <row r="108" spans="5:5" s="25" customFormat="1" x14ac:dyDescent="0.25">
      <c r="E108" s="34"/>
    </row>
    <row r="109" spans="5:5" s="25" customFormat="1" x14ac:dyDescent="0.25">
      <c r="E109" s="34"/>
    </row>
    <row r="110" spans="5:5" s="25" customFormat="1" x14ac:dyDescent="0.25">
      <c r="E110" s="34"/>
    </row>
    <row r="111" spans="5:5" s="25" customFormat="1" x14ac:dyDescent="0.25">
      <c r="E111" s="34"/>
    </row>
    <row r="112" spans="5:5" s="25" customFormat="1" x14ac:dyDescent="0.25">
      <c r="E112" s="34"/>
    </row>
    <row r="113" spans="5:5" s="25" customFormat="1" x14ac:dyDescent="0.25">
      <c r="E113" s="34"/>
    </row>
    <row r="114" spans="5:5" s="25" customFormat="1" x14ac:dyDescent="0.25">
      <c r="E114" s="34"/>
    </row>
    <row r="115" spans="5:5" s="25" customFormat="1" x14ac:dyDescent="0.25">
      <c r="E115" s="34"/>
    </row>
    <row r="116" spans="5:5" s="25" customFormat="1" x14ac:dyDescent="0.25">
      <c r="E116" s="34"/>
    </row>
    <row r="117" spans="5:5" s="25" customFormat="1" x14ac:dyDescent="0.25">
      <c r="E117" s="34"/>
    </row>
    <row r="118" spans="5:5" s="25" customFormat="1" x14ac:dyDescent="0.25">
      <c r="E118" s="34"/>
    </row>
    <row r="119" spans="5:5" s="25" customFormat="1" x14ac:dyDescent="0.25">
      <c r="E119" s="34"/>
    </row>
    <row r="120" spans="5:5" s="25" customFormat="1" x14ac:dyDescent="0.25">
      <c r="E120" s="34"/>
    </row>
    <row r="121" spans="5:5" s="25" customFormat="1" x14ac:dyDescent="0.25">
      <c r="E121" s="34"/>
    </row>
    <row r="122" spans="5:5" s="25" customFormat="1" x14ac:dyDescent="0.25">
      <c r="E122" s="34"/>
    </row>
    <row r="123" spans="5:5" s="25" customFormat="1" x14ac:dyDescent="0.25">
      <c r="E123" s="34"/>
    </row>
    <row r="124" spans="5:5" s="25" customFormat="1" x14ac:dyDescent="0.25">
      <c r="E124" s="34"/>
    </row>
    <row r="125" spans="5:5" s="25" customFormat="1" x14ac:dyDescent="0.25">
      <c r="E125" s="34"/>
    </row>
    <row r="126" spans="5:5" s="25" customFormat="1" x14ac:dyDescent="0.25">
      <c r="E126" s="34"/>
    </row>
    <row r="127" spans="5:5" s="25" customFormat="1" x14ac:dyDescent="0.25">
      <c r="E127" s="34"/>
    </row>
    <row r="128" spans="5:5" s="25" customFormat="1" x14ac:dyDescent="0.25">
      <c r="E128" s="34"/>
    </row>
    <row r="129" spans="5:5" s="25" customFormat="1" x14ac:dyDescent="0.25">
      <c r="E129" s="34"/>
    </row>
    <row r="130" spans="5:5" s="25" customFormat="1" x14ac:dyDescent="0.25">
      <c r="E130" s="34"/>
    </row>
    <row r="131" spans="5:5" s="25" customFormat="1" x14ac:dyDescent="0.25">
      <c r="E131" s="34"/>
    </row>
    <row r="132" spans="5:5" s="25" customFormat="1" x14ac:dyDescent="0.25">
      <c r="E132" s="34"/>
    </row>
    <row r="133" spans="5:5" s="25" customFormat="1" x14ac:dyDescent="0.25">
      <c r="E133" s="34"/>
    </row>
    <row r="134" spans="5:5" s="25" customFormat="1" x14ac:dyDescent="0.25">
      <c r="E134" s="34"/>
    </row>
    <row r="135" spans="5:5" s="25" customFormat="1" x14ac:dyDescent="0.25">
      <c r="E135" s="34"/>
    </row>
    <row r="136" spans="5:5" s="25" customFormat="1" x14ac:dyDescent="0.25">
      <c r="E136" s="34"/>
    </row>
    <row r="137" spans="5:5" s="25" customFormat="1" x14ac:dyDescent="0.25">
      <c r="E137" s="34"/>
    </row>
    <row r="138" spans="5:5" s="25" customFormat="1" x14ac:dyDescent="0.25">
      <c r="E138" s="34"/>
    </row>
    <row r="139" spans="5:5" s="25" customFormat="1" x14ac:dyDescent="0.25">
      <c r="E139" s="34"/>
    </row>
    <row r="140" spans="5:5" s="25" customFormat="1" x14ac:dyDescent="0.25">
      <c r="E140" s="34"/>
    </row>
    <row r="141" spans="5:5" s="25" customFormat="1" x14ac:dyDescent="0.25">
      <c r="E141" s="34"/>
    </row>
    <row r="142" spans="5:5" s="25" customFormat="1" x14ac:dyDescent="0.25">
      <c r="E142" s="34"/>
    </row>
    <row r="143" spans="5:5" s="25" customFormat="1" x14ac:dyDescent="0.25">
      <c r="E143" s="34"/>
    </row>
    <row r="144" spans="5:5" s="25" customFormat="1" x14ac:dyDescent="0.25">
      <c r="E144" s="34"/>
    </row>
    <row r="145" spans="5:5" s="25" customFormat="1" x14ac:dyDescent="0.25">
      <c r="E145" s="34"/>
    </row>
    <row r="146" spans="5:5" s="25" customFormat="1" x14ac:dyDescent="0.25">
      <c r="E146" s="34"/>
    </row>
    <row r="147" spans="5:5" s="25" customFormat="1" x14ac:dyDescent="0.25">
      <c r="E147" s="34"/>
    </row>
    <row r="148" spans="5:5" s="25" customFormat="1" x14ac:dyDescent="0.25">
      <c r="E148" s="34"/>
    </row>
    <row r="149" spans="5:5" s="25" customFormat="1" x14ac:dyDescent="0.25">
      <c r="E149" s="34"/>
    </row>
    <row r="150" spans="5:5" s="25" customFormat="1" x14ac:dyDescent="0.25">
      <c r="E150" s="34"/>
    </row>
    <row r="151" spans="5:5" s="25" customFormat="1" x14ac:dyDescent="0.25">
      <c r="E151" s="34"/>
    </row>
    <row r="152" spans="5:5" s="25" customFormat="1" x14ac:dyDescent="0.25">
      <c r="E152" s="34"/>
    </row>
    <row r="153" spans="5:5" s="25" customFormat="1" x14ac:dyDescent="0.25">
      <c r="E153" s="34"/>
    </row>
    <row r="154" spans="5:5" s="25" customFormat="1" x14ac:dyDescent="0.25">
      <c r="E154" s="34"/>
    </row>
    <row r="155" spans="5:5" s="25" customFormat="1" x14ac:dyDescent="0.25">
      <c r="E155" s="34"/>
    </row>
    <row r="156" spans="5:5" s="25" customFormat="1" x14ac:dyDescent="0.25">
      <c r="E156" s="34"/>
    </row>
    <row r="157" spans="5:5" s="25" customFormat="1" x14ac:dyDescent="0.25">
      <c r="E157" s="34"/>
    </row>
    <row r="158" spans="5:5" s="25" customFormat="1" x14ac:dyDescent="0.25">
      <c r="E158" s="34"/>
    </row>
    <row r="159" spans="5:5" s="25" customFormat="1" x14ac:dyDescent="0.25">
      <c r="E159" s="34"/>
    </row>
    <row r="160" spans="5:5" s="25" customFormat="1" x14ac:dyDescent="0.25">
      <c r="E160" s="34"/>
    </row>
    <row r="161" spans="5:5" s="25" customFormat="1" x14ac:dyDescent="0.25">
      <c r="E161" s="34"/>
    </row>
    <row r="162" spans="5:5" s="25" customFormat="1" x14ac:dyDescent="0.25">
      <c r="E162" s="34"/>
    </row>
    <row r="163" spans="5:5" s="25" customFormat="1" x14ac:dyDescent="0.25">
      <c r="E163" s="34"/>
    </row>
    <row r="164" spans="5:5" s="25" customFormat="1" x14ac:dyDescent="0.25">
      <c r="E164" s="34"/>
    </row>
    <row r="165" spans="5:5" s="25" customFormat="1" x14ac:dyDescent="0.25">
      <c r="E165" s="34"/>
    </row>
    <row r="166" spans="5:5" s="25" customFormat="1" x14ac:dyDescent="0.25">
      <c r="E166" s="34"/>
    </row>
    <row r="167" spans="5:5" s="25" customFormat="1" x14ac:dyDescent="0.25">
      <c r="E167" s="34"/>
    </row>
    <row r="168" spans="5:5" s="25" customFormat="1" x14ac:dyDescent="0.25">
      <c r="E168" s="34"/>
    </row>
    <row r="169" spans="5:5" s="25" customFormat="1" x14ac:dyDescent="0.25">
      <c r="E169" s="34"/>
    </row>
    <row r="170" spans="5:5" s="25" customFormat="1" x14ac:dyDescent="0.25">
      <c r="E170" s="34"/>
    </row>
    <row r="171" spans="5:5" s="25" customFormat="1" x14ac:dyDescent="0.25">
      <c r="E171" s="34"/>
    </row>
    <row r="172" spans="5:5" s="25" customFormat="1" x14ac:dyDescent="0.25">
      <c r="E172" s="34"/>
    </row>
    <row r="173" spans="5:5" s="25" customFormat="1" x14ac:dyDescent="0.25">
      <c r="E173" s="34"/>
    </row>
    <row r="174" spans="5:5" s="25" customFormat="1" x14ac:dyDescent="0.25">
      <c r="E174" s="34"/>
    </row>
    <row r="175" spans="5:5" s="25" customFormat="1" x14ac:dyDescent="0.25">
      <c r="E175" s="34"/>
    </row>
    <row r="176" spans="5:5" s="25" customFormat="1" x14ac:dyDescent="0.25">
      <c r="E176" s="34"/>
    </row>
    <row r="177" spans="5:5" s="25" customFormat="1" x14ac:dyDescent="0.25">
      <c r="E177" s="34"/>
    </row>
    <row r="178" spans="5:5" s="25" customFormat="1" x14ac:dyDescent="0.25">
      <c r="E178" s="34"/>
    </row>
    <row r="179" spans="5:5" s="25" customFormat="1" x14ac:dyDescent="0.25">
      <c r="E179" s="34"/>
    </row>
    <row r="180" spans="5:5" s="25" customFormat="1" x14ac:dyDescent="0.25">
      <c r="E180" s="34"/>
    </row>
    <row r="181" spans="5:5" s="25" customFormat="1" x14ac:dyDescent="0.25">
      <c r="E181" s="34"/>
    </row>
    <row r="182" spans="5:5" s="25" customFormat="1" x14ac:dyDescent="0.25">
      <c r="E182" s="34"/>
    </row>
    <row r="183" spans="5:5" s="25" customFormat="1" x14ac:dyDescent="0.25">
      <c r="E183" s="34"/>
    </row>
    <row r="184" spans="5:5" s="25" customFormat="1" x14ac:dyDescent="0.25">
      <c r="E184" s="34"/>
    </row>
    <row r="185" spans="5:5" s="25" customFormat="1" x14ac:dyDescent="0.25">
      <c r="E185" s="34"/>
    </row>
    <row r="186" spans="5:5" s="25" customFormat="1" x14ac:dyDescent="0.25">
      <c r="E186" s="34"/>
    </row>
    <row r="187" spans="5:5" s="25" customFormat="1" x14ac:dyDescent="0.25">
      <c r="E187" s="34"/>
    </row>
    <row r="188" spans="5:5" s="25" customFormat="1" x14ac:dyDescent="0.25">
      <c r="E188" s="34"/>
    </row>
    <row r="189" spans="5:5" s="25" customFormat="1" x14ac:dyDescent="0.25">
      <c r="E189" s="34"/>
    </row>
    <row r="190" spans="5:5" s="25" customFormat="1" x14ac:dyDescent="0.25">
      <c r="E190" s="34"/>
    </row>
    <row r="191" spans="5:5" s="25" customFormat="1" x14ac:dyDescent="0.25">
      <c r="E191" s="34"/>
    </row>
    <row r="192" spans="5:5" s="25" customFormat="1" x14ac:dyDescent="0.25">
      <c r="E192" s="34"/>
    </row>
    <row r="193" spans="5:5" s="25" customFormat="1" x14ac:dyDescent="0.25">
      <c r="E193" s="34"/>
    </row>
    <row r="194" spans="5:5" s="25" customFormat="1" x14ac:dyDescent="0.25">
      <c r="E194" s="34"/>
    </row>
    <row r="195" spans="5:5" s="25" customFormat="1" x14ac:dyDescent="0.25">
      <c r="E195" s="34"/>
    </row>
    <row r="196" spans="5:5" s="25" customFormat="1" x14ac:dyDescent="0.25">
      <c r="E196" s="34"/>
    </row>
    <row r="197" spans="5:5" s="25" customFormat="1" x14ac:dyDescent="0.25">
      <c r="E197" s="34"/>
    </row>
    <row r="198" spans="5:5" s="25" customFormat="1" x14ac:dyDescent="0.25">
      <c r="E198" s="34"/>
    </row>
    <row r="199" spans="5:5" s="25" customFormat="1" x14ac:dyDescent="0.25">
      <c r="E199" s="34"/>
    </row>
    <row r="200" spans="5:5" s="25" customFormat="1" x14ac:dyDescent="0.25">
      <c r="E200" s="34"/>
    </row>
    <row r="201" spans="5:5" s="25" customFormat="1" x14ac:dyDescent="0.25">
      <c r="E201" s="34"/>
    </row>
    <row r="202" spans="5:5" s="25" customFormat="1" x14ac:dyDescent="0.25">
      <c r="E202" s="34"/>
    </row>
    <row r="203" spans="5:5" s="25" customFormat="1" x14ac:dyDescent="0.25">
      <c r="E203" s="34"/>
    </row>
    <row r="204" spans="5:5" s="25" customFormat="1" x14ac:dyDescent="0.25">
      <c r="E204" s="34"/>
    </row>
    <row r="205" spans="5:5" s="25" customFormat="1" x14ac:dyDescent="0.25">
      <c r="E205" s="34"/>
    </row>
    <row r="206" spans="5:5" s="25" customFormat="1" x14ac:dyDescent="0.25">
      <c r="E206" s="34"/>
    </row>
    <row r="207" spans="5:5" s="25" customFormat="1" x14ac:dyDescent="0.25">
      <c r="E207" s="34"/>
    </row>
    <row r="208" spans="5:5" s="25" customFormat="1" x14ac:dyDescent="0.25">
      <c r="E208" s="34"/>
    </row>
    <row r="209" spans="5:5" s="25" customFormat="1" x14ac:dyDescent="0.25">
      <c r="E209" s="34"/>
    </row>
    <row r="210" spans="5:5" s="25" customFormat="1" x14ac:dyDescent="0.25">
      <c r="E210" s="34"/>
    </row>
    <row r="211" spans="5:5" s="25" customFormat="1" x14ac:dyDescent="0.25">
      <c r="E211" s="34"/>
    </row>
    <row r="212" spans="5:5" s="25" customFormat="1" x14ac:dyDescent="0.25">
      <c r="E212" s="34"/>
    </row>
    <row r="213" spans="5:5" s="25" customFormat="1" x14ac:dyDescent="0.25">
      <c r="E213" s="34"/>
    </row>
    <row r="214" spans="5:5" s="25" customFormat="1" x14ac:dyDescent="0.25">
      <c r="E214" s="34"/>
    </row>
    <row r="215" spans="5:5" s="25" customFormat="1" x14ac:dyDescent="0.25">
      <c r="E215" s="34"/>
    </row>
    <row r="216" spans="5:5" s="25" customFormat="1" x14ac:dyDescent="0.25">
      <c r="E216" s="34"/>
    </row>
    <row r="217" spans="5:5" s="25" customFormat="1" x14ac:dyDescent="0.25">
      <c r="E217" s="34"/>
    </row>
    <row r="218" spans="5:5" s="25" customFormat="1" x14ac:dyDescent="0.25">
      <c r="E218" s="34"/>
    </row>
    <row r="219" spans="5:5" s="25" customFormat="1" x14ac:dyDescent="0.25">
      <c r="E219" s="34"/>
    </row>
    <row r="220" spans="5:5" s="25" customFormat="1" x14ac:dyDescent="0.25">
      <c r="E220" s="34"/>
    </row>
    <row r="221" spans="5:5" s="25" customFormat="1" x14ac:dyDescent="0.25">
      <c r="E221" s="34"/>
    </row>
    <row r="222" spans="5:5" s="25" customFormat="1" x14ac:dyDescent="0.25">
      <c r="E222" s="34"/>
    </row>
    <row r="223" spans="5:5" s="25" customFormat="1" x14ac:dyDescent="0.25">
      <c r="E223" s="34"/>
    </row>
    <row r="224" spans="5:5" s="25" customFormat="1" x14ac:dyDescent="0.25">
      <c r="E224" s="34"/>
    </row>
    <row r="225" spans="5:5" s="25" customFormat="1" x14ac:dyDescent="0.25">
      <c r="E225" s="34"/>
    </row>
    <row r="226" spans="5:5" s="25" customFormat="1" x14ac:dyDescent="0.25">
      <c r="E226" s="34"/>
    </row>
    <row r="227" spans="5:5" s="25" customFormat="1" x14ac:dyDescent="0.25">
      <c r="E227" s="34"/>
    </row>
    <row r="228" spans="5:5" s="25" customFormat="1" x14ac:dyDescent="0.25">
      <c r="E228" s="34"/>
    </row>
    <row r="229" spans="5:5" s="25" customFormat="1" x14ac:dyDescent="0.25">
      <c r="E229" s="34"/>
    </row>
    <row r="230" spans="5:5" s="25" customFormat="1" x14ac:dyDescent="0.25">
      <c r="E230" s="34"/>
    </row>
    <row r="231" spans="5:5" s="25" customFormat="1" x14ac:dyDescent="0.25">
      <c r="E231" s="34"/>
    </row>
    <row r="232" spans="5:5" s="25" customFormat="1" x14ac:dyDescent="0.25">
      <c r="E232" s="34"/>
    </row>
    <row r="233" spans="5:5" s="25" customFormat="1" x14ac:dyDescent="0.25">
      <c r="E233" s="34"/>
    </row>
    <row r="234" spans="5:5" s="25" customFormat="1" x14ac:dyDescent="0.25">
      <c r="E234" s="34"/>
    </row>
    <row r="235" spans="5:5" s="25" customFormat="1" x14ac:dyDescent="0.25">
      <c r="E235" s="34"/>
    </row>
    <row r="236" spans="5:5" s="25" customFormat="1" x14ac:dyDescent="0.25">
      <c r="E236" s="34"/>
    </row>
    <row r="237" spans="5:5" s="25" customFormat="1" x14ac:dyDescent="0.25">
      <c r="E237" s="34"/>
    </row>
    <row r="238" spans="5:5" s="25" customFormat="1" x14ac:dyDescent="0.25">
      <c r="E238" s="34"/>
    </row>
    <row r="239" spans="5:5" s="25" customFormat="1" x14ac:dyDescent="0.25">
      <c r="E239" s="34"/>
    </row>
    <row r="240" spans="5:5" s="25" customFormat="1" x14ac:dyDescent="0.25">
      <c r="E240" s="34"/>
    </row>
    <row r="241" spans="5:5" s="25" customFormat="1" x14ac:dyDescent="0.25">
      <c r="E241" s="34"/>
    </row>
    <row r="242" spans="5:5" s="25" customFormat="1" x14ac:dyDescent="0.25">
      <c r="E242" s="34"/>
    </row>
    <row r="243" spans="5:5" s="25" customFormat="1" x14ac:dyDescent="0.25">
      <c r="E243" s="34"/>
    </row>
    <row r="244" spans="5:5" s="25" customFormat="1" x14ac:dyDescent="0.25">
      <c r="E244" s="34"/>
    </row>
    <row r="245" spans="5:5" s="25" customFormat="1" x14ac:dyDescent="0.25">
      <c r="E245" s="34"/>
    </row>
    <row r="246" spans="5:5" s="25" customFormat="1" x14ac:dyDescent="0.25">
      <c r="E246" s="34"/>
    </row>
    <row r="247" spans="5:5" s="25" customFormat="1" x14ac:dyDescent="0.25">
      <c r="E247" s="34"/>
    </row>
    <row r="248" spans="5:5" s="25" customFormat="1" x14ac:dyDescent="0.25">
      <c r="E248" s="34"/>
    </row>
    <row r="249" spans="5:5" s="25" customFormat="1" x14ac:dyDescent="0.25">
      <c r="E249" s="34"/>
    </row>
    <row r="250" spans="5:5" s="25" customFormat="1" x14ac:dyDescent="0.25">
      <c r="E250" s="34"/>
    </row>
    <row r="251" spans="5:5" s="25" customFormat="1" x14ac:dyDescent="0.25">
      <c r="E251" s="34"/>
    </row>
    <row r="252" spans="5:5" s="25" customFormat="1" x14ac:dyDescent="0.25">
      <c r="E252" s="34"/>
    </row>
    <row r="253" spans="5:5" s="25" customFormat="1" x14ac:dyDescent="0.25">
      <c r="E253" s="34"/>
    </row>
    <row r="254" spans="5:5" s="25" customFormat="1" x14ac:dyDescent="0.25">
      <c r="E254" s="34"/>
    </row>
    <row r="255" spans="5:5" s="25" customFormat="1" x14ac:dyDescent="0.25">
      <c r="E255" s="34"/>
    </row>
    <row r="256" spans="5:5" s="25" customFormat="1" x14ac:dyDescent="0.25">
      <c r="E256" s="34"/>
    </row>
    <row r="257" spans="5:5" s="25" customFormat="1" x14ac:dyDescent="0.25">
      <c r="E257" s="34"/>
    </row>
    <row r="258" spans="5:5" s="25" customFormat="1" x14ac:dyDescent="0.25">
      <c r="E258" s="34"/>
    </row>
    <row r="259" spans="5:5" s="25" customFormat="1" x14ac:dyDescent="0.25">
      <c r="E259" s="34"/>
    </row>
    <row r="260" spans="5:5" s="25" customFormat="1" x14ac:dyDescent="0.25">
      <c r="E260" s="34"/>
    </row>
    <row r="261" spans="5:5" s="25" customFormat="1" x14ac:dyDescent="0.25">
      <c r="E261" s="34"/>
    </row>
    <row r="262" spans="5:5" s="25" customFormat="1" x14ac:dyDescent="0.25">
      <c r="E262" s="34"/>
    </row>
    <row r="263" spans="5:5" s="25" customFormat="1" x14ac:dyDescent="0.25">
      <c r="E263" s="34"/>
    </row>
    <row r="264" spans="5:5" s="25" customFormat="1" x14ac:dyDescent="0.25">
      <c r="E264" s="34"/>
    </row>
    <row r="265" spans="5:5" s="25" customFormat="1" x14ac:dyDescent="0.25">
      <c r="E265" s="34"/>
    </row>
    <row r="266" spans="5:5" s="25" customFormat="1" x14ac:dyDescent="0.25">
      <c r="E266" s="34"/>
    </row>
    <row r="267" spans="5:5" s="25" customFormat="1" x14ac:dyDescent="0.25">
      <c r="E267" s="34"/>
    </row>
    <row r="268" spans="5:5" s="25" customFormat="1" x14ac:dyDescent="0.25">
      <c r="E268" s="34"/>
    </row>
    <row r="269" spans="5:5" s="25" customFormat="1" x14ac:dyDescent="0.25">
      <c r="E269" s="34"/>
    </row>
    <row r="270" spans="5:5" s="25" customFormat="1" x14ac:dyDescent="0.25">
      <c r="E270" s="34"/>
    </row>
    <row r="271" spans="5:5" s="25" customFormat="1" x14ac:dyDescent="0.25">
      <c r="E271" s="34"/>
    </row>
    <row r="272" spans="5:5" s="25" customFormat="1" x14ac:dyDescent="0.25">
      <c r="E272" s="34"/>
    </row>
    <row r="273" spans="1:5" s="25" customFormat="1" x14ac:dyDescent="0.25">
      <c r="E273" s="34"/>
    </row>
    <row r="274" spans="1:5" s="25" customFormat="1" x14ac:dyDescent="0.25">
      <c r="E274" s="34"/>
    </row>
    <row r="275" spans="1:5" s="25" customFormat="1" x14ac:dyDescent="0.25">
      <c r="E275" s="34"/>
    </row>
    <row r="276" spans="1:5" s="25" customFormat="1" x14ac:dyDescent="0.25">
      <c r="E276" s="34"/>
    </row>
    <row r="277" spans="1:5" s="25" customFormat="1" x14ac:dyDescent="0.25">
      <c r="E277" s="34"/>
    </row>
    <row r="278" spans="1:5" s="25" customFormat="1" x14ac:dyDescent="0.25">
      <c r="E278" s="34"/>
    </row>
    <row r="279" spans="1:5" s="25" customFormat="1" x14ac:dyDescent="0.25">
      <c r="E279" s="34"/>
    </row>
    <row r="280" spans="1:5" s="25" customFormat="1" x14ac:dyDescent="0.25">
      <c r="A280"/>
      <c r="B280"/>
      <c r="E280" s="34"/>
    </row>
  </sheetData>
  <mergeCells count="2">
    <mergeCell ref="A2:C2"/>
    <mergeCell ref="A15:C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79"/>
  <sheetViews>
    <sheetView workbookViewId="0">
      <selection activeCell="AR13" sqref="AR13"/>
    </sheetView>
  </sheetViews>
  <sheetFormatPr defaultRowHeight="15" x14ac:dyDescent="0.25"/>
  <cols>
    <col min="1" max="1" width="7.140625" customWidth="1"/>
    <col min="2" max="2" width="8.7109375" customWidth="1"/>
    <col min="3" max="3" width="8" customWidth="1"/>
    <col min="5" max="5" width="14.140625" style="6" customWidth="1"/>
    <col min="6" max="6" width="10.85546875" customWidth="1"/>
    <col min="7" max="7" width="9.7109375" customWidth="1"/>
    <col min="8" max="8" width="9.5703125" customWidth="1"/>
    <col min="9" max="9" width="7.85546875" customWidth="1"/>
    <col min="10" max="10" width="6.5703125" customWidth="1"/>
    <col min="11" max="11" width="1.42578125" style="11" customWidth="1"/>
    <col min="12" max="12" width="6.85546875" customWidth="1"/>
    <col min="13" max="13" width="9.28515625" customWidth="1"/>
    <col min="14" max="14" width="7.7109375" customWidth="1"/>
    <col min="15" max="15" width="8.5703125" customWidth="1"/>
    <col min="16" max="16" width="1.85546875" customWidth="1"/>
    <col min="17" max="17" width="7" style="11" customWidth="1"/>
    <col min="18" max="18" width="6.28515625" customWidth="1"/>
    <col min="19" max="19" width="8.140625" customWidth="1"/>
    <col min="20" max="20" width="8.42578125" customWidth="1"/>
    <col min="21" max="21" width="1.85546875" customWidth="1"/>
    <col min="22" max="22" width="9.28515625" style="11" customWidth="1"/>
    <col min="23" max="23" width="6.140625" customWidth="1"/>
    <col min="24" max="24" width="9.140625" customWidth="1"/>
    <col min="25" max="25" width="8.85546875" customWidth="1"/>
    <col min="26" max="26" width="1.85546875" customWidth="1"/>
    <col min="27" max="27" width="9.140625" style="11" customWidth="1"/>
    <col min="28" max="28" width="7" customWidth="1"/>
    <col min="29" max="29" width="8.140625" customWidth="1"/>
    <col min="30" max="30" width="8.5703125" customWidth="1"/>
    <col min="31" max="31" width="1.85546875" customWidth="1"/>
    <col min="32" max="32" width="8.7109375" style="11" customWidth="1"/>
    <col min="33" max="33" width="6.28515625" customWidth="1"/>
    <col min="34" max="34" width="7.28515625" customWidth="1"/>
    <col min="35" max="35" width="8.42578125" customWidth="1"/>
    <col min="36" max="36" width="1.85546875" customWidth="1"/>
    <col min="37" max="37" width="9.85546875" style="11" customWidth="1"/>
    <col min="38" max="38" width="6.42578125" customWidth="1"/>
    <col min="39" max="39" width="7.85546875" customWidth="1"/>
    <col min="40" max="40" width="9.140625" customWidth="1"/>
    <col min="41" max="41" width="1.85546875" customWidth="1"/>
    <col min="42" max="42" width="8.28515625" customWidth="1"/>
    <col min="43" max="43" width="7.85546875" style="11" customWidth="1"/>
    <col min="44" max="44" width="9" customWidth="1"/>
    <col min="45" max="45" width="9.28515625" customWidth="1"/>
    <col min="46" max="46" width="10" customWidth="1"/>
    <col min="47" max="47" width="9.7109375" customWidth="1"/>
    <col min="48" max="48" width="10.140625" style="11" customWidth="1"/>
    <col min="49" max="49" width="10.5703125" customWidth="1"/>
    <col min="50" max="50" width="9.28515625" customWidth="1"/>
  </cols>
  <sheetData>
    <row r="1" spans="1:49" s="25" customFormat="1" ht="21" x14ac:dyDescent="0.35">
      <c r="A1" s="38" t="s">
        <v>0</v>
      </c>
      <c r="E1" s="34"/>
      <c r="K1" s="113"/>
      <c r="P1" s="87"/>
      <c r="U1" s="87"/>
      <c r="Z1" s="87"/>
      <c r="AE1" s="87"/>
      <c r="AJ1" s="87"/>
      <c r="AO1" s="87"/>
    </row>
    <row r="2" spans="1:49" s="25" customFormat="1" x14ac:dyDescent="0.25">
      <c r="A2" s="108" t="s">
        <v>95</v>
      </c>
      <c r="B2" s="108"/>
      <c r="C2" s="108"/>
      <c r="D2" s="80"/>
      <c r="E2" s="34"/>
      <c r="K2" s="113"/>
      <c r="M2" s="1" t="s">
        <v>28</v>
      </c>
      <c r="N2" s="1" t="s">
        <v>37</v>
      </c>
      <c r="O2" s="25">
        <v>0.10199999999999999</v>
      </c>
      <c r="P2" s="87"/>
      <c r="S2" s="25" t="s">
        <v>39</v>
      </c>
      <c r="T2" s="25">
        <v>0.24399999999999999</v>
      </c>
      <c r="U2" s="87"/>
      <c r="X2" s="25" t="s">
        <v>40</v>
      </c>
      <c r="Y2" s="25">
        <v>0.36699999999999999</v>
      </c>
      <c r="Z2" s="87"/>
      <c r="AC2" s="25" t="s">
        <v>41</v>
      </c>
      <c r="AD2" s="25">
        <v>0.14299999999999999</v>
      </c>
      <c r="AE2" s="87"/>
      <c r="AH2" s="124" t="s">
        <v>42</v>
      </c>
      <c r="AI2" s="25">
        <v>0.115</v>
      </c>
      <c r="AJ2" s="87"/>
      <c r="AM2" s="124" t="s">
        <v>43</v>
      </c>
      <c r="AN2" s="25">
        <v>0</v>
      </c>
      <c r="AO2" s="87"/>
      <c r="AR2" s="124" t="s">
        <v>116</v>
      </c>
      <c r="AS2" s="25">
        <v>0</v>
      </c>
    </row>
    <row r="3" spans="1:49" ht="51" customHeight="1" x14ac:dyDescent="0.4">
      <c r="A3" s="9" t="s">
        <v>2</v>
      </c>
      <c r="B3" s="3" t="s">
        <v>3</v>
      </c>
      <c r="C3" s="80" t="s">
        <v>4</v>
      </c>
      <c r="D3" s="9" t="s">
        <v>14</v>
      </c>
      <c r="E3" s="6" t="s">
        <v>9</v>
      </c>
      <c r="F3" s="44" t="s">
        <v>24</v>
      </c>
      <c r="G3" s="16" t="s">
        <v>152</v>
      </c>
      <c r="H3" s="6" t="s">
        <v>140</v>
      </c>
      <c r="I3" s="6" t="s">
        <v>139</v>
      </c>
      <c r="J3" s="8" t="s">
        <v>17</v>
      </c>
      <c r="K3" s="113"/>
      <c r="L3" s="6" t="s">
        <v>22</v>
      </c>
      <c r="M3" s="14" t="s">
        <v>23</v>
      </c>
      <c r="N3" s="8" t="s">
        <v>25</v>
      </c>
      <c r="O3" s="36" t="s">
        <v>86</v>
      </c>
      <c r="P3" s="87"/>
      <c r="Q3" t="s">
        <v>28</v>
      </c>
      <c r="R3" s="14" t="s">
        <v>23</v>
      </c>
      <c r="S3" s="8" t="s">
        <v>25</v>
      </c>
      <c r="T3" s="36" t="s">
        <v>86</v>
      </c>
      <c r="U3" s="87"/>
      <c r="V3" t="s">
        <v>28</v>
      </c>
      <c r="W3" s="14" t="s">
        <v>23</v>
      </c>
      <c r="X3" s="8" t="s">
        <v>25</v>
      </c>
      <c r="Y3" s="36" t="s">
        <v>86</v>
      </c>
      <c r="Z3" s="87"/>
      <c r="AA3" s="1" t="s">
        <v>28</v>
      </c>
      <c r="AB3" s="15" t="s">
        <v>29</v>
      </c>
      <c r="AC3" s="16" t="s">
        <v>25</v>
      </c>
      <c r="AD3" s="36" t="s">
        <v>86</v>
      </c>
      <c r="AE3" s="87"/>
      <c r="AF3" s="1" t="s">
        <v>28</v>
      </c>
      <c r="AG3" s="15" t="s">
        <v>29</v>
      </c>
      <c r="AH3" s="16" t="s">
        <v>25</v>
      </c>
      <c r="AI3" s="36" t="s">
        <v>86</v>
      </c>
      <c r="AJ3" s="87"/>
      <c r="AK3" s="1" t="s">
        <v>28</v>
      </c>
      <c r="AL3" s="15" t="s">
        <v>29</v>
      </c>
      <c r="AM3" s="16" t="s">
        <v>25</v>
      </c>
      <c r="AN3" s="36" t="s">
        <v>86</v>
      </c>
      <c r="AO3" s="87"/>
      <c r="AP3" s="1" t="s">
        <v>28</v>
      </c>
      <c r="AQ3" s="15" t="s">
        <v>29</v>
      </c>
      <c r="AR3" s="16" t="s">
        <v>25</v>
      </c>
      <c r="AS3" s="36" t="s">
        <v>86</v>
      </c>
      <c r="AT3" s="25"/>
      <c r="AU3" t="s">
        <v>99</v>
      </c>
      <c r="AV3"/>
      <c r="AW3" t="s">
        <v>87</v>
      </c>
    </row>
    <row r="4" spans="1:49" x14ac:dyDescent="0.25">
      <c r="A4" s="4">
        <v>1</v>
      </c>
      <c r="B4" s="5">
        <v>10</v>
      </c>
      <c r="C4" s="4"/>
      <c r="D4" s="27">
        <f>(B4*B5)^0.5</f>
        <v>11.220071301021219</v>
      </c>
      <c r="E4" s="6" t="s">
        <v>8</v>
      </c>
      <c r="F4" s="45">
        <f>0.065*1600*9.8*B4/1000000</f>
        <v>1.0192E-2</v>
      </c>
      <c r="G4" s="18">
        <f>10^(0.544*LOG(B4)-1.885)</f>
        <v>4.56036915951296E-2</v>
      </c>
      <c r="H4" s="10">
        <f t="shared" ref="H4:H11" si="0">1600*9.8*(D4/1000000)^2/(18*0.0014)</f>
        <v>7.8331555555555585E-5</v>
      </c>
      <c r="I4" s="7">
        <f>100*H4</f>
        <v>7.8331555555555578E-3</v>
      </c>
      <c r="J4" s="61">
        <v>1</v>
      </c>
      <c r="K4" s="113"/>
      <c r="L4">
        <v>0.2</v>
      </c>
      <c r="M4" s="7">
        <f>1050*(L4/27)^2</f>
        <v>5.7613168724279844E-2</v>
      </c>
      <c r="N4">
        <f>J4*H4*(1-M4/F4)</f>
        <v>-3.6445976377897385E-4</v>
      </c>
      <c r="O4">
        <v>0</v>
      </c>
      <c r="P4" s="87"/>
      <c r="Q4">
        <v>0.15</v>
      </c>
      <c r="R4" s="7">
        <f>1050*(Q4/27)^2</f>
        <v>3.2407407407407406E-2</v>
      </c>
      <c r="S4">
        <f>J4*H4*(1-R4/F4)</f>
        <v>-1.7073856157011718E-4</v>
      </c>
      <c r="T4">
        <v>0</v>
      </c>
      <c r="U4" s="87"/>
      <c r="V4">
        <v>0.1</v>
      </c>
      <c r="W4" s="7">
        <f>1050*(V4/27)^2</f>
        <v>1.4403292181069961E-2</v>
      </c>
      <c r="X4">
        <f>J4*H4*(1-W4/F4)</f>
        <v>-3.2366274278076774E-5</v>
      </c>
      <c r="Y4">
        <v>0</v>
      </c>
      <c r="Z4" s="87"/>
      <c r="AA4">
        <v>7.4999999999999997E-2</v>
      </c>
      <c r="AB4" s="7">
        <f>1050*(AA4/27)^2</f>
        <v>8.1018518518518514E-3</v>
      </c>
      <c r="AC4">
        <f>J4*H4*(1-AB4/F4)</f>
        <v>1.6064026274137394E-5</v>
      </c>
      <c r="AD4">
        <f>AC4*$AD$2</f>
        <v>2.2971557572016473E-6</v>
      </c>
      <c r="AE4" s="87"/>
      <c r="AF4">
        <v>0.05</v>
      </c>
      <c r="AG4" s="7">
        <f>1050*(AF4/27)^2</f>
        <v>3.6008230452674902E-3</v>
      </c>
      <c r="AH4">
        <f>J4*H4*(1-AG4/F4)</f>
        <v>5.0657098097147497E-5</v>
      </c>
      <c r="AI4">
        <f>AH4*$AI$2</f>
        <v>5.8255662811719627E-6</v>
      </c>
      <c r="AJ4" s="87"/>
      <c r="AK4">
        <v>2.5000000000000001E-2</v>
      </c>
      <c r="AL4" s="7">
        <f>1050*(AK4/27)^2</f>
        <v>9.0020576131687256E-4</v>
      </c>
      <c r="AM4">
        <f>J4*H4*(1-AL4/F4)</f>
        <v>7.141294119095357E-5</v>
      </c>
      <c r="AN4">
        <f>AM4*$AN$2</f>
        <v>0</v>
      </c>
      <c r="AO4" s="87"/>
      <c r="AP4">
        <v>1E-3</v>
      </c>
      <c r="AQ4" s="7">
        <f>1050*(AP4/27)^2</f>
        <v>1.440329218106996E-6</v>
      </c>
      <c r="AR4" s="10">
        <f>0.1*H4*(1-AQ4/F4)</f>
        <v>7.8320485772572228E-6</v>
      </c>
      <c r="AS4" s="10">
        <f>AR4*$AS$2</f>
        <v>0</v>
      </c>
      <c r="AT4" s="25"/>
      <c r="AU4">
        <f>(O4+T4+Y4+AD4+AI4+AN4+AS4)*AW4</f>
        <v>9.1136941270551915E-5</v>
      </c>
      <c r="AV4"/>
      <c r="AW4" s="47">
        <v>11.22</v>
      </c>
    </row>
    <row r="5" spans="1:49" x14ac:dyDescent="0.25">
      <c r="A5" s="4">
        <v>1.1000000000000001</v>
      </c>
      <c r="B5" s="5">
        <v>12.589</v>
      </c>
      <c r="C5" s="5">
        <v>2.589</v>
      </c>
      <c r="D5" s="27">
        <f t="shared" ref="D5:D11" si="1">(B5*B6)^0.5</f>
        <v>14.125263218786403</v>
      </c>
      <c r="E5" s="6" t="s">
        <v>5</v>
      </c>
      <c r="F5" s="45">
        <f t="shared" ref="F5:F11" si="2">0.065*1600*9.8*B5/1000000</f>
        <v>1.28307088E-2</v>
      </c>
      <c r="G5" s="18">
        <f t="shared" ref="G5:G11" si="3">10^(0.544*LOG(B5)-1.885)</f>
        <v>5.1688654951225675E-2</v>
      </c>
      <c r="H5" s="10">
        <f t="shared" si="0"/>
        <v>1.2414768240000002E-4</v>
      </c>
      <c r="I5" s="7">
        <f t="shared" ref="I5:I11" si="4">100*H5</f>
        <v>1.2414768240000002E-2</v>
      </c>
      <c r="J5" s="43">
        <v>0.56200000000000006</v>
      </c>
      <c r="K5" s="113"/>
      <c r="L5">
        <v>0.2</v>
      </c>
      <c r="M5" s="7">
        <f t="shared" ref="M5:M11" si="5">1050*(L5/27)^2</f>
        <v>5.7613168724279844E-2</v>
      </c>
      <c r="N5">
        <f>J5*H5*(1-M5/F5)</f>
        <v>-2.4351865111418207E-4</v>
      </c>
      <c r="O5">
        <v>0</v>
      </c>
      <c r="P5" s="87"/>
      <c r="Q5">
        <v>0.15</v>
      </c>
      <c r="R5" s="7">
        <f t="shared" ref="R5:R11" si="6">1050*(Q5/27)^2</f>
        <v>3.2407407407407406E-2</v>
      </c>
      <c r="S5">
        <f>J5*H5*(1-R5/F5)</f>
        <v>-1.0645442984162739E-4</v>
      </c>
      <c r="T5">
        <v>0</v>
      </c>
      <c r="U5" s="87"/>
      <c r="V5">
        <v>0.1</v>
      </c>
      <c r="W5" s="7">
        <f t="shared" ref="W5:W11" si="7">1050*(V5/27)^2</f>
        <v>1.4403292181069961E-2</v>
      </c>
      <c r="X5">
        <f>J5*H5*(1-W5/F5)</f>
        <v>-8.5514146469455005E-6</v>
      </c>
      <c r="Y5">
        <v>0</v>
      </c>
      <c r="Z5" s="87"/>
      <c r="AA5">
        <v>7.4999999999999997E-2</v>
      </c>
      <c r="AB5" s="7">
        <f t="shared" ref="AB5:AB11" si="8">1050*(AA5/27)^2</f>
        <v>8.1018518518518514E-3</v>
      </c>
      <c r="AC5">
        <f>J5*H5*(1-AB5/F5)</f>
        <v>2.5714640671193172E-5</v>
      </c>
      <c r="AD5">
        <f>AC5*$AD$2</f>
        <v>3.6771936159806231E-6</v>
      </c>
      <c r="AE5" s="87"/>
      <c r="AF5">
        <v>0.05</v>
      </c>
      <c r="AG5" s="7">
        <f t="shared" ref="AG5:AG11" si="9">1050*(AF5/27)^2</f>
        <v>3.6008230452674902E-3</v>
      </c>
      <c r="AH5">
        <f>J5*H5*(1-AG5/F5)</f>
        <v>5.0190394469863647E-5</v>
      </c>
      <c r="AI5">
        <f>AH5*$AI$2</f>
        <v>5.7718953640343195E-6</v>
      </c>
      <c r="AJ5" s="87"/>
      <c r="AK5">
        <v>2.5000000000000001E-2</v>
      </c>
      <c r="AL5" s="7">
        <f t="shared" ref="AL5:AL11" si="10">1050*(AK5/27)^2</f>
        <v>9.0020576131687256E-4</v>
      </c>
      <c r="AM5">
        <f>J5*H5*(1-AL5/F5)</f>
        <v>6.4875846749065929E-5</v>
      </c>
      <c r="AN5">
        <f>AM5*$AN$2</f>
        <v>0</v>
      </c>
      <c r="AO5" s="87"/>
      <c r="AP5">
        <v>1E-3</v>
      </c>
      <c r="AQ5" s="7">
        <f t="shared" ref="AQ5:AQ11" si="11">1050*(AP5/27)^2</f>
        <v>1.440329218106996E-6</v>
      </c>
      <c r="AR5" s="10">
        <f>0.1*H5*(1-AQ5/F5)</f>
        <v>1.2413374602773032E-5</v>
      </c>
      <c r="AS5" s="10">
        <f>AR5*$AS$2</f>
        <v>0</v>
      </c>
      <c r="AT5" s="25"/>
      <c r="AU5">
        <f t="shared" ref="AU5:AU11" si="12">(O5+T5+Y5+AD5+AI5+AN5+AS5)*AW5</f>
        <v>1.3351562728761114E-4</v>
      </c>
      <c r="AV5"/>
      <c r="AW5" s="47">
        <v>14.13</v>
      </c>
    </row>
    <row r="6" spans="1:49" x14ac:dyDescent="0.25">
      <c r="A6" s="4">
        <v>1.2</v>
      </c>
      <c r="B6" s="5">
        <v>15.849</v>
      </c>
      <c r="C6" s="5">
        <v>3.26</v>
      </c>
      <c r="D6" s="27">
        <f t="shared" si="1"/>
        <v>17.783000224933925</v>
      </c>
      <c r="E6" s="6" t="s">
        <v>6</v>
      </c>
      <c r="F6" s="45">
        <f t="shared" si="2"/>
        <v>1.6153300799999999E-2</v>
      </c>
      <c r="G6" s="18">
        <f t="shared" si="3"/>
        <v>5.8586966901058878E-2</v>
      </c>
      <c r="H6" s="10">
        <f t="shared" si="0"/>
        <v>1.9676850480000003E-4</v>
      </c>
      <c r="I6" s="7">
        <f t="shared" si="4"/>
        <v>1.9676850480000004E-2</v>
      </c>
      <c r="J6" s="43">
        <v>0.316</v>
      </c>
      <c r="K6" s="113"/>
      <c r="L6">
        <v>0.2</v>
      </c>
      <c r="M6" s="7">
        <f t="shared" si="5"/>
        <v>5.7613168724279844E-2</v>
      </c>
      <c r="N6">
        <f>J6*H6*(1-M6/F6)</f>
        <v>-1.5959133292004719E-4</v>
      </c>
      <c r="O6">
        <v>0</v>
      </c>
      <c r="P6" s="87"/>
      <c r="Q6">
        <v>0.15</v>
      </c>
      <c r="R6" s="7">
        <f t="shared" si="6"/>
        <v>3.2407407407407406E-2</v>
      </c>
      <c r="S6">
        <f>J6*H6*(1-R6/F6)</f>
        <v>-6.2566878978926506E-5</v>
      </c>
      <c r="T6">
        <v>0</v>
      </c>
      <c r="U6" s="87"/>
      <c r="V6">
        <v>0.1</v>
      </c>
      <c r="W6" s="7">
        <f t="shared" si="7"/>
        <v>1.4403292181069961E-2</v>
      </c>
      <c r="X6">
        <f>J6*H6*(1-W6/F6)</f>
        <v>6.7363024075882154E-6</v>
      </c>
      <c r="Y6">
        <f>X6*$Y$2</f>
        <v>2.4722229835848748E-6</v>
      </c>
      <c r="Z6" s="87"/>
      <c r="AA6">
        <v>7.4999999999999997E-2</v>
      </c>
      <c r="AB6" s="7">
        <f t="shared" si="8"/>
        <v>8.1018518518518514E-3</v>
      </c>
      <c r="AC6">
        <f>J6*H6*(1-AB6/F6)</f>
        <v>3.0992415892868386E-5</v>
      </c>
      <c r="AD6">
        <f>AC6*$AD$2</f>
        <v>4.4319154726801786E-6</v>
      </c>
      <c r="AE6" s="87"/>
      <c r="AF6">
        <v>0.05</v>
      </c>
      <c r="AG6" s="7">
        <f t="shared" si="9"/>
        <v>3.6008230452674902E-3</v>
      </c>
      <c r="AH6">
        <f>J6*H6*(1-AG6/F6)</f>
        <v>4.8318211239497066E-5</v>
      </c>
      <c r="AI6">
        <f>AH6*$AI$2</f>
        <v>5.5565942925421624E-6</v>
      </c>
      <c r="AJ6" s="87"/>
      <c r="AK6">
        <v>2.5000000000000001E-2</v>
      </c>
      <c r="AL6" s="7">
        <f t="shared" si="10"/>
        <v>9.0020576131687256E-4</v>
      </c>
      <c r="AM6">
        <f>J6*H6*(1-AL6/F6)</f>
        <v>5.8713688447474272E-5</v>
      </c>
      <c r="AN6">
        <f>AM6*$AN$2</f>
        <v>0</v>
      </c>
      <c r="AO6" s="87"/>
      <c r="AP6">
        <v>1E-3</v>
      </c>
      <c r="AQ6" s="7">
        <f t="shared" si="11"/>
        <v>1.440329218106996E-6</v>
      </c>
      <c r="AR6" s="10">
        <f>0.1*H6*(1-AQ6/F6)</f>
        <v>1.9675095969078825E-5</v>
      </c>
      <c r="AS6" s="10">
        <f>AR6*$AS$2</f>
        <v>0</v>
      </c>
      <c r="AT6" s="25"/>
      <c r="AU6">
        <f t="shared" si="12"/>
        <v>2.2155182827379233E-4</v>
      </c>
      <c r="AV6"/>
      <c r="AW6" s="47">
        <v>17.78</v>
      </c>
    </row>
    <row r="7" spans="1:49" x14ac:dyDescent="0.25">
      <c r="A7" s="4">
        <v>1.3</v>
      </c>
      <c r="B7" s="5">
        <v>19.952999999999999</v>
      </c>
      <c r="C7" s="5">
        <v>4.1040000000000001</v>
      </c>
      <c r="D7" s="27">
        <f t="shared" si="1"/>
        <v>22.387483266325404</v>
      </c>
      <c r="E7" s="6" t="s">
        <v>7</v>
      </c>
      <c r="F7" s="45">
        <f t="shared" si="2"/>
        <v>2.0336097600000002E-2</v>
      </c>
      <c r="G7" s="18">
        <f t="shared" si="3"/>
        <v>6.6405562862589834E-2</v>
      </c>
      <c r="H7" s="10">
        <f t="shared" si="0"/>
        <v>3.118574088E-4</v>
      </c>
      <c r="I7" s="7">
        <f t="shared" si="4"/>
        <v>3.118574088E-2</v>
      </c>
      <c r="J7" s="43">
        <v>0.17799999999999999</v>
      </c>
      <c r="K7" s="113"/>
      <c r="L7">
        <v>0.2</v>
      </c>
      <c r="M7" s="7">
        <f t="shared" si="5"/>
        <v>5.7613168724279844E-2</v>
      </c>
      <c r="N7">
        <f>J7*H7*(1-M7/F7)</f>
        <v>-1.0175370538681305E-4</v>
      </c>
      <c r="O7">
        <v>0</v>
      </c>
      <c r="P7" s="87"/>
      <c r="Q7">
        <v>0.15</v>
      </c>
      <c r="R7" s="7">
        <f t="shared" si="6"/>
        <v>3.2407407407407406E-2</v>
      </c>
      <c r="S7">
        <f>J7*H7*(1-R7/F7)</f>
        <v>-3.2950563569782321E-5</v>
      </c>
      <c r="T7">
        <v>0</v>
      </c>
      <c r="U7" s="87"/>
      <c r="V7">
        <v>0.1</v>
      </c>
      <c r="W7" s="7">
        <f t="shared" si="7"/>
        <v>1.4403292181069961E-2</v>
      </c>
      <c r="X7">
        <f>J7*H7*(1-W7/F7)</f>
        <v>1.6194537728096738E-5</v>
      </c>
      <c r="Y7">
        <f>X7*$Y$2</f>
        <v>5.9433953462115028E-6</v>
      </c>
      <c r="Z7" s="87"/>
      <c r="AA7">
        <v>7.4999999999999997E-2</v>
      </c>
      <c r="AB7" s="7">
        <f t="shared" si="8"/>
        <v>8.1018518518518514E-3</v>
      </c>
      <c r="AC7">
        <f>J7*H7*(1-AB7/F7)</f>
        <v>3.3395323182354415E-5</v>
      </c>
      <c r="AD7">
        <f>AC7*$AD$2</f>
        <v>4.7755312150766807E-6</v>
      </c>
      <c r="AE7" s="87"/>
      <c r="AF7">
        <v>0.05</v>
      </c>
      <c r="AG7" s="7">
        <f t="shared" si="9"/>
        <v>3.6008230452674902E-3</v>
      </c>
      <c r="AH7">
        <f>J7*H7*(1-AG7/F7)</f>
        <v>4.5681598506824184E-5</v>
      </c>
      <c r="AI7">
        <f>AH7*$AI$2</f>
        <v>5.2533838282847815E-6</v>
      </c>
      <c r="AJ7" s="87"/>
      <c r="AK7">
        <v>2.5000000000000001E-2</v>
      </c>
      <c r="AL7" s="7">
        <f t="shared" si="10"/>
        <v>9.0020576131687256E-4</v>
      </c>
      <c r="AM7">
        <f>J7*H7*(1-AL7/F7)</f>
        <v>5.3053363701506041E-5</v>
      </c>
      <c r="AN7">
        <f>AM7*$AN$2</f>
        <v>0</v>
      </c>
      <c r="AO7" s="87"/>
      <c r="AP7">
        <v>1E-3</v>
      </c>
      <c r="AQ7" s="7">
        <f t="shared" si="11"/>
        <v>1.440329218106996E-6</v>
      </c>
      <c r="AR7" s="10">
        <f>0.1*H7*(1-AQ7/F7)</f>
        <v>3.1183532111402347E-5</v>
      </c>
      <c r="AS7" s="10">
        <f>AR7*$AS$2</f>
        <v>0</v>
      </c>
      <c r="AT7" s="25"/>
      <c r="AU7">
        <f t="shared" si="12"/>
        <v>3.5762002962253864E-4</v>
      </c>
      <c r="AV7"/>
      <c r="AW7" s="47">
        <v>22.39</v>
      </c>
    </row>
    <row r="8" spans="1:49" x14ac:dyDescent="0.25">
      <c r="A8" s="4">
        <v>1.4</v>
      </c>
      <c r="B8" s="5">
        <v>25.119</v>
      </c>
      <c r="C8" s="5">
        <v>5.1660000000000004</v>
      </c>
      <c r="D8" s="27">
        <f t="shared" si="1"/>
        <v>28.184004985097488</v>
      </c>
      <c r="E8" s="6" t="s">
        <v>10</v>
      </c>
      <c r="F8" s="45">
        <f t="shared" si="2"/>
        <v>2.5601284800000002E-2</v>
      </c>
      <c r="G8" s="18">
        <f t="shared" si="3"/>
        <v>7.5266422877521957E-2</v>
      </c>
      <c r="H8" s="10">
        <f t="shared" si="0"/>
        <v>4.9425484080000011E-4</v>
      </c>
      <c r="I8" s="7">
        <f t="shared" si="4"/>
        <v>4.9425484080000012E-2</v>
      </c>
      <c r="J8" s="43">
        <v>0.1</v>
      </c>
      <c r="K8" s="113"/>
      <c r="L8">
        <v>0.2</v>
      </c>
      <c r="M8" s="7">
        <f t="shared" si="5"/>
        <v>5.7613168724279844E-2</v>
      </c>
      <c r="N8">
        <f>J8*H8*(1-M8/F8)</f>
        <v>-6.1801697517551978E-5</v>
      </c>
      <c r="O8">
        <v>0</v>
      </c>
      <c r="P8" s="87"/>
      <c r="Q8">
        <v>0.15</v>
      </c>
      <c r="R8" s="7">
        <f t="shared" si="6"/>
        <v>3.2407407407407406E-2</v>
      </c>
      <c r="S8">
        <f>J8*H8*(1-R8/F8)</f>
        <v>-1.3139805568622975E-5</v>
      </c>
      <c r="T8">
        <v>0</v>
      </c>
      <c r="U8" s="87"/>
      <c r="V8">
        <v>0.1</v>
      </c>
      <c r="W8" s="7">
        <f t="shared" si="7"/>
        <v>1.4403292181069961E-2</v>
      </c>
      <c r="X8">
        <f>J8*H8*(1-W8/F8)</f>
        <v>2.1618688680612014E-5</v>
      </c>
      <c r="Y8">
        <f>X8*$Y$2</f>
        <v>7.9340587457846097E-6</v>
      </c>
      <c r="Z8" s="87"/>
      <c r="AA8">
        <v>7.4999999999999997E-2</v>
      </c>
      <c r="AB8" s="7">
        <f t="shared" si="8"/>
        <v>8.1018518518518514E-3</v>
      </c>
      <c r="AC8">
        <f>J8*H8*(1-AB8/F8)</f>
        <v>3.3784161667844267E-5</v>
      </c>
      <c r="AD8">
        <f>AC8*$AD$2</f>
        <v>4.8311351185017297E-6</v>
      </c>
      <c r="AE8" s="87"/>
      <c r="AF8">
        <v>0.05</v>
      </c>
      <c r="AG8" s="7">
        <f t="shared" si="9"/>
        <v>3.6008230452674902E-3</v>
      </c>
      <c r="AH8">
        <f>J8*H8*(1-AG8/F8)</f>
        <v>4.2473785230153013E-5</v>
      </c>
      <c r="AI8">
        <f>AH8*$AI$2</f>
        <v>4.8844853014675964E-6</v>
      </c>
      <c r="AJ8" s="87"/>
      <c r="AK8">
        <v>2.5000000000000001E-2</v>
      </c>
      <c r="AL8" s="7">
        <f t="shared" si="10"/>
        <v>9.0020576131687256E-4</v>
      </c>
      <c r="AM8">
        <f>J8*H8*(1-AL8/F8)</f>
        <v>4.7687559367538263E-5</v>
      </c>
      <c r="AN8">
        <f>AM8*$AN$2</f>
        <v>0</v>
      </c>
      <c r="AO8" s="87"/>
      <c r="AP8">
        <v>1E-3</v>
      </c>
      <c r="AQ8" s="7">
        <f t="shared" si="11"/>
        <v>1.440329218106996E-6</v>
      </c>
      <c r="AR8" s="10">
        <f>0.1*H8*(1-AQ8/F8)</f>
        <v>4.9422703400460073E-5</v>
      </c>
      <c r="AS8" s="10">
        <f>AR8*$AS$2</f>
        <v>0</v>
      </c>
      <c r="AT8" s="25"/>
      <c r="AU8">
        <f t="shared" si="12"/>
        <v>4.9736795889094589E-4</v>
      </c>
      <c r="AV8"/>
      <c r="AW8" s="47">
        <v>28.18</v>
      </c>
    </row>
    <row r="9" spans="1:49" x14ac:dyDescent="0.25">
      <c r="A9" s="4">
        <v>1.5</v>
      </c>
      <c r="B9" s="5">
        <v>31.623000000000001</v>
      </c>
      <c r="C9" s="5">
        <v>6.5039999999999996</v>
      </c>
      <c r="D9" s="27">
        <f t="shared" si="1"/>
        <v>35.481590339216758</v>
      </c>
      <c r="E9" s="6" t="s">
        <v>11</v>
      </c>
      <c r="F9" s="45">
        <f t="shared" si="2"/>
        <v>3.2230161600000001E-2</v>
      </c>
      <c r="G9" s="18">
        <f t="shared" si="3"/>
        <v>8.5310339253953912E-2</v>
      </c>
      <c r="H9" s="10">
        <f t="shared" si="0"/>
        <v>7.8334246853333357E-4</v>
      </c>
      <c r="I9" s="7">
        <f t="shared" si="4"/>
        <v>7.8334246853333359E-2</v>
      </c>
      <c r="J9" s="43">
        <v>5.6000000000000001E-2</v>
      </c>
      <c r="K9" s="113"/>
      <c r="L9">
        <v>0.2</v>
      </c>
      <c r="M9" s="7">
        <f t="shared" si="5"/>
        <v>5.7613168724279844E-2</v>
      </c>
      <c r="N9">
        <f>J9*H9*(1-M9/F9)</f>
        <v>-3.4547791337596755E-5</v>
      </c>
      <c r="O9">
        <v>0</v>
      </c>
      <c r="P9" s="87"/>
      <c r="Q9">
        <v>0.15</v>
      </c>
      <c r="R9" s="7">
        <f t="shared" si="6"/>
        <v>3.2407407407407406E-2</v>
      </c>
      <c r="S9">
        <f>J9*H9*(1-R9/F9)</f>
        <v>-2.4124214833149478E-7</v>
      </c>
      <c r="T9">
        <v>0</v>
      </c>
      <c r="U9" s="87"/>
      <c r="V9">
        <v>0.1</v>
      </c>
      <c r="W9" s="7">
        <f t="shared" si="7"/>
        <v>1.4403292181069961E-2</v>
      </c>
      <c r="X9">
        <f>J9*H9*(1-W9/F9)</f>
        <v>2.4263435844000818E-5</v>
      </c>
      <c r="Y9">
        <f>X9*$Y$2</f>
        <v>8.9046809547482992E-6</v>
      </c>
      <c r="Z9" s="87"/>
      <c r="AA9">
        <v>7.4999999999999997E-2</v>
      </c>
      <c r="AB9" s="7">
        <f t="shared" si="8"/>
        <v>8.1018518518518514E-3</v>
      </c>
      <c r="AC9">
        <f>J9*H9*(1-AB9/F9)</f>
        <v>3.2840073141317138E-5</v>
      </c>
      <c r="AD9">
        <f>AC9*$AD$2</f>
        <v>4.6961304592083501E-6</v>
      </c>
      <c r="AE9" s="87"/>
      <c r="AF9">
        <v>0.05</v>
      </c>
      <c r="AG9" s="7">
        <f t="shared" si="9"/>
        <v>3.6008230452674902E-3</v>
      </c>
      <c r="AH9">
        <f>J9*H9*(1-AG9/F9)</f>
        <v>3.8966242639400216E-5</v>
      </c>
      <c r="AI9">
        <f>AH9*$AI$2</f>
        <v>4.4811179035310249E-6</v>
      </c>
      <c r="AJ9" s="87"/>
      <c r="AK9">
        <v>2.5000000000000001E-2</v>
      </c>
      <c r="AL9" s="7">
        <f t="shared" si="10"/>
        <v>9.0020576131687256E-4</v>
      </c>
      <c r="AM9">
        <f>J9*H9*(1-AL9/F9)</f>
        <v>4.2641944338250061E-5</v>
      </c>
      <c r="AN9">
        <f>AM9*$AN$2</f>
        <v>0</v>
      </c>
      <c r="AO9" s="87"/>
      <c r="AP9">
        <v>1E-3</v>
      </c>
      <c r="AQ9" s="7">
        <f t="shared" si="11"/>
        <v>1.440329218106996E-6</v>
      </c>
      <c r="AR9" s="10">
        <f>0.1*H9*(1-AQ9/F9)</f>
        <v>7.8330746185048745E-5</v>
      </c>
      <c r="AS9" s="10">
        <f>AR9*$AS$2</f>
        <v>0</v>
      </c>
      <c r="AT9" s="25"/>
      <c r="AU9">
        <f t="shared" si="12"/>
        <v>6.4154685218446264E-4</v>
      </c>
      <c r="AV9"/>
      <c r="AW9" s="47">
        <v>35.479999999999997</v>
      </c>
    </row>
    <row r="10" spans="1:49" x14ac:dyDescent="0.25">
      <c r="A10" s="4">
        <v>1.6</v>
      </c>
      <c r="B10" s="5">
        <v>39.811</v>
      </c>
      <c r="C10" s="5">
        <v>8.1880000000000006</v>
      </c>
      <c r="D10" s="27">
        <f t="shared" si="1"/>
        <v>44.668641226256256</v>
      </c>
      <c r="E10" s="6" t="s">
        <v>12</v>
      </c>
      <c r="F10" s="45">
        <f t="shared" si="2"/>
        <v>4.0575371200000002E-2</v>
      </c>
      <c r="G10" s="18">
        <f t="shared" si="3"/>
        <v>9.6694479312890325E-2</v>
      </c>
      <c r="H10" s="10">
        <f t="shared" si="0"/>
        <v>1.2415122278222224E-3</v>
      </c>
      <c r="I10" s="7">
        <f t="shared" si="4"/>
        <v>0.12415122278222224</v>
      </c>
      <c r="J10" s="43">
        <v>3.2000000000000001E-2</v>
      </c>
      <c r="K10" s="113"/>
      <c r="L10">
        <v>0.2</v>
      </c>
      <c r="M10" s="7">
        <f t="shared" si="5"/>
        <v>5.7613168724279844E-2</v>
      </c>
      <c r="N10">
        <f>J10*H10*(1-M10/F10)</f>
        <v>-1.6682146502942739E-5</v>
      </c>
      <c r="O10">
        <v>0</v>
      </c>
      <c r="P10" s="87"/>
      <c r="Q10">
        <v>0.15</v>
      </c>
      <c r="R10" s="7">
        <f t="shared" si="6"/>
        <v>3.2407407407407406E-2</v>
      </c>
      <c r="S10">
        <f>J10*H10*(1-R10/F10)</f>
        <v>7.9974637816058283E-6</v>
      </c>
      <c r="T10">
        <f>S10*$T$2</f>
        <v>1.9513811627118221E-6</v>
      </c>
      <c r="U10" s="87"/>
      <c r="V10">
        <v>0.1</v>
      </c>
      <c r="W10" s="7">
        <f t="shared" si="7"/>
        <v>1.4403292181069961E-2</v>
      </c>
      <c r="X10">
        <f>J10*H10*(1-W10/F10)</f>
        <v>2.5625756841997649E-5</v>
      </c>
      <c r="Y10">
        <f>X10*$Y$2</f>
        <v>9.4046527610131366E-6</v>
      </c>
      <c r="Z10" s="87"/>
      <c r="AA10">
        <v>7.4999999999999997E-2</v>
      </c>
      <c r="AB10" s="7">
        <f t="shared" si="8"/>
        <v>8.1018518518518514E-3</v>
      </c>
      <c r="AC10">
        <f>J10*H10*(1-AB10/F10)</f>
        <v>3.1795659413134796E-5</v>
      </c>
      <c r="AD10">
        <f>AC10*$AD$2</f>
        <v>4.5467792960782757E-6</v>
      </c>
      <c r="AE10" s="87"/>
      <c r="AF10">
        <v>0.05</v>
      </c>
      <c r="AG10" s="7">
        <f t="shared" si="9"/>
        <v>3.6008230452674902E-3</v>
      </c>
      <c r="AH10">
        <f>J10*H10*(1-AG10/F10)</f>
        <v>3.6202732678232751E-5</v>
      </c>
      <c r="AI10">
        <f>AH10*$AI$2</f>
        <v>4.1633142579967663E-6</v>
      </c>
      <c r="AJ10" s="87"/>
      <c r="AK10">
        <v>2.5000000000000001E-2</v>
      </c>
      <c r="AL10" s="7">
        <f t="shared" si="10"/>
        <v>9.0020576131687256E-4</v>
      </c>
      <c r="AM10">
        <f>J10*H10*(1-AL10/F10)</f>
        <v>3.8846976637291527E-5</v>
      </c>
      <c r="AN10">
        <f>AM10*$AN$2</f>
        <v>0</v>
      </c>
      <c r="AO10" s="87"/>
      <c r="AP10">
        <v>1E-3</v>
      </c>
      <c r="AQ10" s="7">
        <f t="shared" si="11"/>
        <v>1.440329218106996E-6</v>
      </c>
      <c r="AR10" s="10">
        <f>0.1*H10*(1-AQ10/F10)</f>
        <v>1.2414681570895714E-4</v>
      </c>
      <c r="AS10" s="10">
        <f>AR10*$AS$2</f>
        <v>0</v>
      </c>
      <c r="AT10" s="25"/>
      <c r="AU10">
        <f t="shared" si="12"/>
        <v>8.9635391443332606E-4</v>
      </c>
      <c r="AV10"/>
      <c r="AW10" s="47">
        <v>44.67</v>
      </c>
    </row>
    <row r="11" spans="1:49" x14ac:dyDescent="0.25">
      <c r="A11" s="4">
        <v>1.7</v>
      </c>
      <c r="B11" s="5">
        <v>50.119</v>
      </c>
      <c r="C11" s="5">
        <v>10.308</v>
      </c>
      <c r="D11" s="27">
        <f t="shared" si="1"/>
        <v>56.234406051811376</v>
      </c>
      <c r="E11" s="6" t="s">
        <v>13</v>
      </c>
      <c r="F11" s="45">
        <f t="shared" si="2"/>
        <v>5.1081284800000001E-2</v>
      </c>
      <c r="G11" s="18">
        <f t="shared" si="3"/>
        <v>0.10959766563810838</v>
      </c>
      <c r="H11" s="10">
        <f t="shared" si="0"/>
        <v>1.9676585749333333E-3</v>
      </c>
      <c r="I11" s="7">
        <f t="shared" si="4"/>
        <v>0.19676585749333333</v>
      </c>
      <c r="J11" s="43">
        <v>1.7999999999999999E-2</v>
      </c>
      <c r="K11" s="113"/>
      <c r="L11">
        <v>0.2</v>
      </c>
      <c r="M11" s="7">
        <f t="shared" si="5"/>
        <v>5.7613168724279844E-2</v>
      </c>
      <c r="N11">
        <f>J11*H11*(1-M11/F11)</f>
        <v>-4.5289642646852871E-6</v>
      </c>
      <c r="O11">
        <v>0</v>
      </c>
      <c r="P11" s="87"/>
      <c r="Q11">
        <v>0.15</v>
      </c>
      <c r="R11" s="7">
        <f t="shared" si="6"/>
        <v>3.2407407407407406E-2</v>
      </c>
      <c r="S11">
        <f>J11*H11*(1-R11/F11)</f>
        <v>1.2947768878714531E-5</v>
      </c>
      <c r="T11">
        <f>S11*$T$2</f>
        <v>3.1592556064063455E-6</v>
      </c>
      <c r="U11" s="87"/>
      <c r="V11">
        <v>0.1</v>
      </c>
      <c r="W11" s="7">
        <f t="shared" si="7"/>
        <v>1.4403292181069961E-2</v>
      </c>
      <c r="X11">
        <f>J11*H11*(1-W11/F11)</f>
        <v>2.5431149695428671E-5</v>
      </c>
      <c r="Y11">
        <f>X11*$Y$2</f>
        <v>9.3332319382223227E-6</v>
      </c>
      <c r="Z11" s="87"/>
      <c r="AA11">
        <v>7.4999999999999997E-2</v>
      </c>
      <c r="AB11" s="7">
        <f t="shared" si="8"/>
        <v>8.1018518518518514E-3</v>
      </c>
      <c r="AC11">
        <f>J11*H11*(1-AB11/F11)</f>
        <v>2.9800332981278627E-5</v>
      </c>
      <c r="AD11">
        <f>AC11*$AD$2</f>
        <v>4.2614476163228436E-6</v>
      </c>
      <c r="AE11" s="87"/>
      <c r="AF11">
        <v>0.05</v>
      </c>
      <c r="AG11" s="7">
        <f t="shared" si="9"/>
        <v>3.6008230452674902E-3</v>
      </c>
      <c r="AH11">
        <f>J11*H11*(1-AG11/F11)</f>
        <v>3.2921178185457165E-5</v>
      </c>
      <c r="AI11">
        <f>AH11*$AI$2</f>
        <v>3.785935491327574E-6</v>
      </c>
      <c r="AJ11" s="87"/>
      <c r="AK11">
        <v>2.5000000000000001E-2</v>
      </c>
      <c r="AL11" s="7">
        <f t="shared" si="10"/>
        <v>9.0020576131687256E-4</v>
      </c>
      <c r="AM11">
        <f>J11*H11*(1-AL11/F11)</f>
        <v>3.4793685307964284E-5</v>
      </c>
      <c r="AN11">
        <f>AM11*$AN$2</f>
        <v>0</v>
      </c>
      <c r="AO11" s="87"/>
      <c r="AP11">
        <v>1E-3</v>
      </c>
      <c r="AQ11" s="7">
        <f t="shared" si="11"/>
        <v>1.440329218106996E-6</v>
      </c>
      <c r="AR11" s="10">
        <f>0.1*H11*(1-AQ11/F11)</f>
        <v>1.9676030932408147E-4</v>
      </c>
      <c r="AS11" s="10">
        <f>AR11*$AS$2</f>
        <v>0</v>
      </c>
      <c r="AT11" s="25"/>
      <c r="AU11">
        <f t="shared" si="12"/>
        <v>1.1549569267776528E-3</v>
      </c>
      <c r="AV11"/>
      <c r="AW11" s="47">
        <v>56.23</v>
      </c>
    </row>
    <row r="12" spans="1:49" x14ac:dyDescent="0.25">
      <c r="A12" s="4">
        <v>1.8</v>
      </c>
      <c r="B12" s="5">
        <v>63.095999999999997</v>
      </c>
      <c r="C12" s="5">
        <v>12.977</v>
      </c>
      <c r="D12" s="5"/>
      <c r="G12" s="18">
        <v>0.124</v>
      </c>
      <c r="I12" s="11" t="s">
        <v>18</v>
      </c>
      <c r="J12" s="11">
        <f>SUM(J4:J11)</f>
        <v>2.262</v>
      </c>
      <c r="K12" s="113"/>
      <c r="O12" s="46">
        <v>0</v>
      </c>
      <c r="P12" s="87"/>
      <c r="Q12"/>
      <c r="T12" s="46">
        <f>SUM(T10:T11)</f>
        <v>5.1106367691181676E-6</v>
      </c>
      <c r="U12" s="87"/>
      <c r="V12"/>
      <c r="Y12" s="46">
        <f>SUM(Y6:Y11)</f>
        <v>4.3992242729564748E-5</v>
      </c>
      <c r="Z12" s="87"/>
      <c r="AA12"/>
      <c r="AD12" s="46">
        <f>SUM(AD4:AD11)</f>
        <v>3.3517288551050334E-5</v>
      </c>
      <c r="AE12" s="87"/>
      <c r="AF12"/>
      <c r="AI12" s="46">
        <f>SUM(AI4:AI11)</f>
        <v>3.9722292720356191E-5</v>
      </c>
      <c r="AJ12" s="87"/>
      <c r="AK12"/>
      <c r="AN12" s="46">
        <f>SUM(AN4:AN11)</f>
        <v>0</v>
      </c>
      <c r="AO12" s="87"/>
      <c r="AQ12"/>
      <c r="AS12" s="46">
        <f>SUM(AS4:AS11)</f>
        <v>0</v>
      </c>
      <c r="AT12" s="11" t="s">
        <v>89</v>
      </c>
      <c r="AU12" s="55">
        <f>SUM(AU4:AU11)</f>
        <v>3.9940500787408809E-3</v>
      </c>
      <c r="AV12" s="87" t="s">
        <v>154</v>
      </c>
      <c r="AW12" s="87"/>
    </row>
    <row r="13" spans="1:49" x14ac:dyDescent="0.25">
      <c r="F13" t="s">
        <v>52</v>
      </c>
      <c r="G13" t="s">
        <v>56</v>
      </c>
      <c r="K13" s="113"/>
      <c r="O13" s="46">
        <v>0</v>
      </c>
      <c r="P13" s="87"/>
      <c r="Q13"/>
      <c r="T13" s="51">
        <f>100*T12/$AU$13</f>
        <v>4.1773205614380018</v>
      </c>
      <c r="U13" s="87"/>
      <c r="V13"/>
      <c r="Y13" s="51">
        <f>100*Y12/$AU$13</f>
        <v>35.958278469023625</v>
      </c>
      <c r="Z13" s="87"/>
      <c r="AA13"/>
      <c r="AD13" s="51">
        <f>100*AD12/$AU$13</f>
        <v>27.396284446196717</v>
      </c>
      <c r="AE13" s="87"/>
      <c r="AF13"/>
      <c r="AI13" s="51">
        <f>100*AI12/$AU$13</f>
        <v>32.468116523341656</v>
      </c>
      <c r="AJ13" s="87"/>
      <c r="AK13"/>
      <c r="AN13" s="25">
        <f>100*AN12/$AU$13</f>
        <v>0</v>
      </c>
      <c r="AO13" s="87"/>
      <c r="AQ13"/>
      <c r="AR13" s="116" t="s">
        <v>111</v>
      </c>
      <c r="AS13" s="25">
        <f>100*AS12/$AU$13</f>
        <v>0</v>
      </c>
      <c r="AT13" s="11" t="s">
        <v>90</v>
      </c>
      <c r="AU13" s="82">
        <f>O12+T12+Y12+AD12+AI12+AN12+AS12</f>
        <v>1.2234246077008943E-4</v>
      </c>
      <c r="AV13" s="106">
        <f>AU12/AU13</f>
        <v>32.646474932743509</v>
      </c>
      <c r="AW13" s="87" t="s">
        <v>91</v>
      </c>
    </row>
    <row r="14" spans="1:49" s="25" customFormat="1" x14ac:dyDescent="0.25">
      <c r="E14" s="34"/>
      <c r="K14" s="113"/>
      <c r="P14" s="87"/>
      <c r="U14" s="87"/>
      <c r="Z14" s="87"/>
      <c r="AE14" s="87"/>
      <c r="AJ14" s="87"/>
      <c r="AO14" s="87"/>
    </row>
    <row r="15" spans="1:49" s="25" customFormat="1" x14ac:dyDescent="0.25">
      <c r="A15" s="108" t="s">
        <v>95</v>
      </c>
      <c r="B15" s="108"/>
      <c r="C15" s="108"/>
      <c r="D15" s="89"/>
      <c r="E15" s="98" t="s">
        <v>136</v>
      </c>
      <c r="K15" s="113"/>
      <c r="M15" s="1" t="s">
        <v>28</v>
      </c>
      <c r="N15" s="1" t="s">
        <v>37</v>
      </c>
      <c r="O15" s="25">
        <v>0.10199999999999999</v>
      </c>
      <c r="P15" s="87"/>
      <c r="T15" s="25">
        <v>0.24399999999999999</v>
      </c>
      <c r="U15" s="87"/>
      <c r="Y15" s="25">
        <v>0.36699999999999999</v>
      </c>
      <c r="Z15" s="87"/>
      <c r="AD15" s="25">
        <v>0.14299999999999999</v>
      </c>
      <c r="AE15" s="87"/>
      <c r="AI15" s="25">
        <v>0.115</v>
      </c>
      <c r="AJ15" s="87"/>
      <c r="AN15" s="25">
        <v>0</v>
      </c>
      <c r="AO15" s="87"/>
      <c r="AS15" s="25">
        <v>0</v>
      </c>
    </row>
    <row r="16" spans="1:49" s="25" customFormat="1" ht="48.75" x14ac:dyDescent="0.4">
      <c r="A16" s="89" t="s">
        <v>2</v>
      </c>
      <c r="B16" s="3" t="s">
        <v>3</v>
      </c>
      <c r="C16" s="89" t="s">
        <v>4</v>
      </c>
      <c r="D16" s="9" t="s">
        <v>14</v>
      </c>
      <c r="E16" s="6" t="s">
        <v>9</v>
      </c>
      <c r="F16" s="44" t="s">
        <v>24</v>
      </c>
      <c r="G16" s="16" t="s">
        <v>49</v>
      </c>
      <c r="H16" s="6" t="s">
        <v>16</v>
      </c>
      <c r="I16" s="6" t="s">
        <v>15</v>
      </c>
      <c r="J16" s="8" t="s">
        <v>17</v>
      </c>
      <c r="K16" s="113"/>
      <c r="L16" s="6" t="s">
        <v>22</v>
      </c>
      <c r="M16" s="14" t="s">
        <v>23</v>
      </c>
      <c r="N16" s="8" t="s">
        <v>25</v>
      </c>
      <c r="O16" s="36" t="s">
        <v>86</v>
      </c>
      <c r="P16" s="87"/>
      <c r="Q16" t="s">
        <v>28</v>
      </c>
      <c r="R16" s="14" t="s">
        <v>23</v>
      </c>
      <c r="S16" s="8" t="s">
        <v>25</v>
      </c>
      <c r="T16" s="36" t="s">
        <v>86</v>
      </c>
      <c r="U16" s="87"/>
      <c r="V16" t="s">
        <v>28</v>
      </c>
      <c r="W16" s="14" t="s">
        <v>23</v>
      </c>
      <c r="X16" s="8" t="s">
        <v>25</v>
      </c>
      <c r="Y16" s="36" t="s">
        <v>86</v>
      </c>
      <c r="Z16" s="87"/>
      <c r="AA16" s="1" t="s">
        <v>28</v>
      </c>
      <c r="AB16" s="15" t="s">
        <v>29</v>
      </c>
      <c r="AC16" s="16" t="s">
        <v>25</v>
      </c>
      <c r="AD16" s="36" t="s">
        <v>86</v>
      </c>
      <c r="AE16" s="87"/>
      <c r="AF16" s="1" t="s">
        <v>28</v>
      </c>
      <c r="AG16" s="15" t="s">
        <v>29</v>
      </c>
      <c r="AH16" s="16" t="s">
        <v>25</v>
      </c>
      <c r="AI16" s="36" t="s">
        <v>86</v>
      </c>
      <c r="AJ16" s="87"/>
      <c r="AK16" s="1" t="s">
        <v>28</v>
      </c>
      <c r="AL16" s="15" t="s">
        <v>29</v>
      </c>
      <c r="AM16" s="16" t="s">
        <v>25</v>
      </c>
      <c r="AN16" s="36" t="s">
        <v>86</v>
      </c>
      <c r="AO16" s="87"/>
      <c r="AP16" s="1" t="s">
        <v>28</v>
      </c>
      <c r="AQ16" s="15" t="s">
        <v>29</v>
      </c>
      <c r="AR16" s="16" t="s">
        <v>25</v>
      </c>
      <c r="AS16" s="36" t="s">
        <v>86</v>
      </c>
      <c r="AU16" t="s">
        <v>99</v>
      </c>
      <c r="AV16"/>
      <c r="AW16" t="s">
        <v>87</v>
      </c>
    </row>
    <row r="17" spans="1:49" s="25" customFormat="1" x14ac:dyDescent="0.25">
      <c r="A17" s="4">
        <v>1</v>
      </c>
      <c r="B17" s="5">
        <v>10</v>
      </c>
      <c r="C17" s="4"/>
      <c r="D17" s="27">
        <f>(B17*B18)^0.5</f>
        <v>11.220071301021219</v>
      </c>
      <c r="E17" s="6" t="s">
        <v>8</v>
      </c>
      <c r="F17" s="45">
        <f>0.065*1600*9.8*B17/1000000</f>
        <v>1.0192E-2</v>
      </c>
      <c r="G17" s="18">
        <f>10^(0.544*LOG(B17)-1.885)</f>
        <v>4.56036915951296E-2</v>
      </c>
      <c r="H17" s="10">
        <f t="shared" ref="H17:H24" si="13">1600*9.8*(D17/1000000)^2/(18*0.0014)</f>
        <v>7.8331555555555585E-5</v>
      </c>
      <c r="I17" s="7">
        <f>100*H17</f>
        <v>7.8331555555555578E-3</v>
      </c>
      <c r="J17" s="61">
        <v>1</v>
      </c>
      <c r="K17" s="113"/>
      <c r="L17">
        <v>0.2</v>
      </c>
      <c r="M17" s="7">
        <f>1050*(L17/27)^2</f>
        <v>5.7613168724279844E-2</v>
      </c>
      <c r="N17">
        <f>J17*H17*(1-M17/F17)</f>
        <v>-3.6445976377897385E-4</v>
      </c>
      <c r="O17">
        <v>0</v>
      </c>
      <c r="P17" s="87"/>
      <c r="Q17">
        <v>0.15</v>
      </c>
      <c r="R17" s="7">
        <f t="shared" ref="R17:R24" si="14">1050*(Q17/27)^2</f>
        <v>3.2407407407407406E-2</v>
      </c>
      <c r="S17">
        <f>J17*H17*(1-R17/F17)</f>
        <v>-1.7073856157011718E-4</v>
      </c>
      <c r="T17">
        <v>0</v>
      </c>
      <c r="U17" s="87"/>
      <c r="V17">
        <v>0.1</v>
      </c>
      <c r="W17" s="7">
        <f t="shared" ref="W17:W24" si="15">1050*(V17/27)^2</f>
        <v>1.4403292181069961E-2</v>
      </c>
      <c r="X17">
        <f>J17*H17*(1-W17/F17)</f>
        <v>-3.2366274278076774E-5</v>
      </c>
      <c r="Y17">
        <v>0</v>
      </c>
      <c r="Z17" s="87"/>
      <c r="AA17">
        <v>7.4999999999999997E-2</v>
      </c>
      <c r="AB17" s="7">
        <f t="shared" ref="AB17:AB24" si="16">1050*(AA17/27)^2</f>
        <v>8.1018518518518514E-3</v>
      </c>
      <c r="AC17">
        <f>J17*H17*(1-AB17/F17)</f>
        <v>1.6064026274137394E-5</v>
      </c>
      <c r="AD17">
        <f>AC17*$AD$2</f>
        <v>2.2971557572016473E-6</v>
      </c>
      <c r="AE17" s="87"/>
      <c r="AF17">
        <v>0.05</v>
      </c>
      <c r="AG17" s="7">
        <f t="shared" ref="AG17:AG24" si="17">1050*(AF17/27)^2</f>
        <v>3.6008230452674902E-3</v>
      </c>
      <c r="AH17">
        <f>J17*H17*(1-AG17/F17)</f>
        <v>5.0657098097147497E-5</v>
      </c>
      <c r="AI17">
        <f>AH17*$AI$2</f>
        <v>5.8255662811719627E-6</v>
      </c>
      <c r="AJ17" s="87"/>
      <c r="AK17">
        <v>2.5000000000000001E-2</v>
      </c>
      <c r="AL17" s="7">
        <f t="shared" ref="AL17:AL24" si="18">1050*(AK17/27)^2</f>
        <v>9.0020576131687256E-4</v>
      </c>
      <c r="AM17">
        <f>J17*H17*(1-AL17/F17)</f>
        <v>7.141294119095357E-5</v>
      </c>
      <c r="AN17">
        <f>AM17*$AN$2</f>
        <v>0</v>
      </c>
      <c r="AO17" s="87"/>
      <c r="AP17">
        <v>1E-3</v>
      </c>
      <c r="AQ17" s="7">
        <f t="shared" ref="AQ17:AQ24" si="19">1050*(AP17/27)^2</f>
        <v>1.440329218106996E-6</v>
      </c>
      <c r="AR17" s="10">
        <f>0.1*H17*(1-AQ17/F17)</f>
        <v>7.8320485772572228E-6</v>
      </c>
      <c r="AS17" s="10">
        <f>AR17*$AS$2</f>
        <v>0</v>
      </c>
      <c r="AU17">
        <f>(O17+T17+Y17+AD17+AI17+AN17+AS17)*AW17</f>
        <v>9.1136941270551915E-5</v>
      </c>
      <c r="AV17"/>
      <c r="AW17" s="47">
        <v>11.22</v>
      </c>
    </row>
    <row r="18" spans="1:49" s="25" customFormat="1" x14ac:dyDescent="0.25">
      <c r="A18" s="4">
        <v>1.1000000000000001</v>
      </c>
      <c r="B18" s="5">
        <v>12.589</v>
      </c>
      <c r="C18" s="5">
        <v>2.589</v>
      </c>
      <c r="D18" s="27">
        <f t="shared" ref="D18:D24" si="20">(B18*B19)^0.5</f>
        <v>14.125263218786403</v>
      </c>
      <c r="E18" s="6" t="s">
        <v>5</v>
      </c>
      <c r="F18" s="45">
        <f t="shared" ref="F18:F24" si="21">0.065*1600*9.8*B18/1000000</f>
        <v>1.28307088E-2</v>
      </c>
      <c r="G18" s="18">
        <f t="shared" ref="G18:G24" si="22">10^(0.544*LOG(B18)-1.885)</f>
        <v>5.1688654951225675E-2</v>
      </c>
      <c r="H18" s="10">
        <f t="shared" si="13"/>
        <v>1.2414768240000002E-4</v>
      </c>
      <c r="I18" s="7">
        <f t="shared" ref="I18:I24" si="23">100*H18</f>
        <v>1.2414768240000002E-2</v>
      </c>
      <c r="J18" s="43">
        <v>0.56200000000000006</v>
      </c>
      <c r="K18" s="113"/>
      <c r="L18">
        <v>0.2</v>
      </c>
      <c r="M18" s="7">
        <f t="shared" ref="M18:M24" si="24">1050*(L18/27)^2</f>
        <v>5.7613168724279844E-2</v>
      </c>
      <c r="N18">
        <f>J18*H18*(1-M18/F18)</f>
        <v>-2.4351865111418207E-4</v>
      </c>
      <c r="O18">
        <v>0</v>
      </c>
      <c r="P18" s="87"/>
      <c r="Q18">
        <v>0.15</v>
      </c>
      <c r="R18" s="7">
        <f t="shared" si="14"/>
        <v>3.2407407407407406E-2</v>
      </c>
      <c r="S18">
        <f>J18*H18*(1-R18/F18)</f>
        <v>-1.0645442984162739E-4</v>
      </c>
      <c r="T18">
        <v>0</v>
      </c>
      <c r="U18" s="87"/>
      <c r="V18">
        <v>0.1</v>
      </c>
      <c r="W18" s="7">
        <f t="shared" si="15"/>
        <v>1.4403292181069961E-2</v>
      </c>
      <c r="X18">
        <f>J18*H18*(1-W18/F18)</f>
        <v>-8.5514146469455005E-6</v>
      </c>
      <c r="Y18">
        <v>0</v>
      </c>
      <c r="Z18" s="87"/>
      <c r="AA18">
        <v>7.4999999999999997E-2</v>
      </c>
      <c r="AB18" s="7">
        <f t="shared" si="16"/>
        <v>8.1018518518518514E-3</v>
      </c>
      <c r="AC18">
        <f>J18*H18*(1-AB18/F18)</f>
        <v>2.5714640671193172E-5</v>
      </c>
      <c r="AD18">
        <f t="shared" ref="AD18:AD24" si="25">AC18*$AD$2</f>
        <v>3.6771936159806231E-6</v>
      </c>
      <c r="AE18" s="87"/>
      <c r="AF18">
        <v>0.05</v>
      </c>
      <c r="AG18" s="7">
        <f t="shared" si="17"/>
        <v>3.6008230452674902E-3</v>
      </c>
      <c r="AH18">
        <f>J18*H18*(1-AG18/F18)</f>
        <v>5.0190394469863647E-5</v>
      </c>
      <c r="AI18">
        <f t="shared" ref="AI18:AI23" si="26">AH18*$AI$2</f>
        <v>5.7718953640343195E-6</v>
      </c>
      <c r="AJ18" s="87"/>
      <c r="AK18">
        <v>2.5000000000000001E-2</v>
      </c>
      <c r="AL18" s="7">
        <f t="shared" si="18"/>
        <v>9.0020576131687256E-4</v>
      </c>
      <c r="AM18">
        <f>J18*H18*(1-AL18/F18)</f>
        <v>6.4875846749065929E-5</v>
      </c>
      <c r="AN18">
        <f t="shared" ref="AN18:AN22" si="27">AM18*$AN$2</f>
        <v>0</v>
      </c>
      <c r="AO18" s="87"/>
      <c r="AP18">
        <v>1E-3</v>
      </c>
      <c r="AQ18" s="7">
        <f t="shared" si="19"/>
        <v>1.440329218106996E-6</v>
      </c>
      <c r="AR18" s="10">
        <f>0.1*H18*(1-AQ18/F18)</f>
        <v>1.2413374602773032E-5</v>
      </c>
      <c r="AS18" s="10">
        <f t="shared" ref="AS18:AS22" si="28">AR18*$AS$2</f>
        <v>0</v>
      </c>
      <c r="AU18">
        <f t="shared" ref="AU18:AU24" si="29">(O18+T18+Y18+AD18+AI18+AN18+AS18)*AW18</f>
        <v>1.3351562728761114E-4</v>
      </c>
      <c r="AV18"/>
      <c r="AW18" s="47">
        <v>14.13</v>
      </c>
    </row>
    <row r="19" spans="1:49" s="25" customFormat="1" x14ac:dyDescent="0.25">
      <c r="A19" s="4">
        <v>1.2</v>
      </c>
      <c r="B19" s="5">
        <v>15.849</v>
      </c>
      <c r="C19" s="5">
        <v>3.26</v>
      </c>
      <c r="D19" s="27">
        <f t="shared" si="20"/>
        <v>17.783000224933925</v>
      </c>
      <c r="E19" s="6" t="s">
        <v>6</v>
      </c>
      <c r="F19" s="45">
        <f t="shared" si="21"/>
        <v>1.6153300799999999E-2</v>
      </c>
      <c r="G19" s="18">
        <f t="shared" si="22"/>
        <v>5.8586966901058878E-2</v>
      </c>
      <c r="H19" s="10">
        <f t="shared" si="13"/>
        <v>1.9676850480000003E-4</v>
      </c>
      <c r="I19" s="7">
        <f t="shared" si="23"/>
        <v>1.9676850480000004E-2</v>
      </c>
      <c r="J19" s="43">
        <v>0.316</v>
      </c>
      <c r="K19" s="113"/>
      <c r="L19">
        <v>0.2</v>
      </c>
      <c r="M19" s="7">
        <f t="shared" si="24"/>
        <v>5.7613168724279844E-2</v>
      </c>
      <c r="N19">
        <f>J19*H19*(1-M19/F19)</f>
        <v>-1.5959133292004719E-4</v>
      </c>
      <c r="O19">
        <v>0</v>
      </c>
      <c r="P19" s="87"/>
      <c r="Q19">
        <v>0.15</v>
      </c>
      <c r="R19" s="7">
        <f t="shared" si="14"/>
        <v>3.2407407407407406E-2</v>
      </c>
      <c r="S19">
        <f>J19*H19*(1-R19/F19)</f>
        <v>-6.2566878978926506E-5</v>
      </c>
      <c r="T19">
        <v>0</v>
      </c>
      <c r="U19" s="87"/>
      <c r="V19">
        <v>0.1</v>
      </c>
      <c r="W19" s="7">
        <f t="shared" si="15"/>
        <v>1.4403292181069961E-2</v>
      </c>
      <c r="X19">
        <f>J19*H19*(1-W19/F19)</f>
        <v>6.7363024075882154E-6</v>
      </c>
      <c r="Y19">
        <f>X19*$Y$2</f>
        <v>2.4722229835848748E-6</v>
      </c>
      <c r="Z19" s="87"/>
      <c r="AA19">
        <v>7.4999999999999997E-2</v>
      </c>
      <c r="AB19" s="7">
        <f t="shared" si="16"/>
        <v>8.1018518518518514E-3</v>
      </c>
      <c r="AC19">
        <f>J19*H19*(1-AB19/F19)</f>
        <v>3.0992415892868386E-5</v>
      </c>
      <c r="AD19">
        <f t="shared" si="25"/>
        <v>4.4319154726801786E-6</v>
      </c>
      <c r="AE19" s="87"/>
      <c r="AF19">
        <v>0.05</v>
      </c>
      <c r="AG19" s="7">
        <f t="shared" si="17"/>
        <v>3.6008230452674902E-3</v>
      </c>
      <c r="AH19">
        <f>J19*H19*(1-AG19/F19)</f>
        <v>4.8318211239497066E-5</v>
      </c>
      <c r="AI19">
        <f t="shared" si="26"/>
        <v>5.5565942925421624E-6</v>
      </c>
      <c r="AJ19" s="87"/>
      <c r="AK19">
        <v>2.5000000000000001E-2</v>
      </c>
      <c r="AL19" s="7">
        <f t="shared" si="18"/>
        <v>9.0020576131687256E-4</v>
      </c>
      <c r="AM19">
        <f>J19*H19*(1-AL19/F19)</f>
        <v>5.8713688447474272E-5</v>
      </c>
      <c r="AN19">
        <f t="shared" si="27"/>
        <v>0</v>
      </c>
      <c r="AO19" s="87"/>
      <c r="AP19">
        <v>1E-3</v>
      </c>
      <c r="AQ19" s="7">
        <f t="shared" si="19"/>
        <v>1.440329218106996E-6</v>
      </c>
      <c r="AR19" s="10">
        <f>0.1*H19*(1-AQ19/F19)</f>
        <v>1.9675095969078825E-5</v>
      </c>
      <c r="AS19" s="10">
        <f t="shared" si="28"/>
        <v>0</v>
      </c>
      <c r="AU19">
        <f t="shared" si="29"/>
        <v>2.2155182827379233E-4</v>
      </c>
      <c r="AV19"/>
      <c r="AW19" s="47">
        <v>17.78</v>
      </c>
    </row>
    <row r="20" spans="1:49" s="25" customFormat="1" x14ac:dyDescent="0.25">
      <c r="A20" s="4">
        <v>1.3</v>
      </c>
      <c r="B20" s="5">
        <v>19.952999999999999</v>
      </c>
      <c r="C20" s="5">
        <v>4.1040000000000001</v>
      </c>
      <c r="D20" s="27">
        <f t="shared" si="20"/>
        <v>22.387483266325404</v>
      </c>
      <c r="E20" s="6" t="s">
        <v>7</v>
      </c>
      <c r="F20" s="45">
        <f t="shared" si="21"/>
        <v>2.0336097600000002E-2</v>
      </c>
      <c r="G20" s="18">
        <f t="shared" si="22"/>
        <v>6.6405562862589834E-2</v>
      </c>
      <c r="H20" s="10">
        <f t="shared" si="13"/>
        <v>3.118574088E-4</v>
      </c>
      <c r="I20" s="7">
        <f t="shared" si="23"/>
        <v>3.118574088E-2</v>
      </c>
      <c r="J20" s="43">
        <v>0.17799999999999999</v>
      </c>
      <c r="K20" s="113"/>
      <c r="L20">
        <v>0.2</v>
      </c>
      <c r="M20" s="7">
        <f t="shared" si="24"/>
        <v>5.7613168724279844E-2</v>
      </c>
      <c r="N20">
        <f>J20*H20*(1-M20/F20)</f>
        <v>-1.0175370538681305E-4</v>
      </c>
      <c r="O20">
        <v>0</v>
      </c>
      <c r="P20" s="87"/>
      <c r="Q20">
        <v>0.15</v>
      </c>
      <c r="R20" s="7">
        <f t="shared" si="14"/>
        <v>3.2407407407407406E-2</v>
      </c>
      <c r="S20">
        <f>J20*H20*(1-R20/F20)</f>
        <v>-3.2950563569782321E-5</v>
      </c>
      <c r="T20">
        <v>0</v>
      </c>
      <c r="U20" s="87"/>
      <c r="V20">
        <v>0.1</v>
      </c>
      <c r="W20" s="7">
        <f t="shared" si="15"/>
        <v>1.4403292181069961E-2</v>
      </c>
      <c r="X20">
        <f>J20*H20*(1-W20/F20)</f>
        <v>1.6194537728096738E-5</v>
      </c>
      <c r="Y20">
        <f t="shared" ref="Y20:Y24" si="30">X20*$Y$2</f>
        <v>5.9433953462115028E-6</v>
      </c>
      <c r="Z20" s="87"/>
      <c r="AA20">
        <v>7.4999999999999997E-2</v>
      </c>
      <c r="AB20" s="7">
        <f t="shared" si="16"/>
        <v>8.1018518518518514E-3</v>
      </c>
      <c r="AC20">
        <f>J20*H20*(1-AB20/F20)</f>
        <v>3.3395323182354415E-5</v>
      </c>
      <c r="AD20">
        <f t="shared" si="25"/>
        <v>4.7755312150766807E-6</v>
      </c>
      <c r="AE20" s="87"/>
      <c r="AF20">
        <v>0.05</v>
      </c>
      <c r="AG20" s="7">
        <f t="shared" si="17"/>
        <v>3.6008230452674902E-3</v>
      </c>
      <c r="AH20">
        <f>J20*H20*(1-AG20/F20)</f>
        <v>4.5681598506824184E-5</v>
      </c>
      <c r="AI20">
        <f t="shared" si="26"/>
        <v>5.2533838282847815E-6</v>
      </c>
      <c r="AJ20" s="87"/>
      <c r="AK20">
        <v>2.5000000000000001E-2</v>
      </c>
      <c r="AL20" s="7">
        <f t="shared" si="18"/>
        <v>9.0020576131687256E-4</v>
      </c>
      <c r="AM20">
        <f>J20*H20*(1-AL20/F20)</f>
        <v>5.3053363701506041E-5</v>
      </c>
      <c r="AN20">
        <f t="shared" si="27"/>
        <v>0</v>
      </c>
      <c r="AO20" s="87"/>
      <c r="AP20">
        <v>1E-3</v>
      </c>
      <c r="AQ20" s="7">
        <f t="shared" si="19"/>
        <v>1.440329218106996E-6</v>
      </c>
      <c r="AR20" s="10">
        <f>0.1*H20*(1-AQ20/F20)</f>
        <v>3.1183532111402347E-5</v>
      </c>
      <c r="AS20" s="10">
        <f t="shared" si="28"/>
        <v>0</v>
      </c>
      <c r="AU20">
        <f t="shared" si="29"/>
        <v>3.5762002962253864E-4</v>
      </c>
      <c r="AV20"/>
      <c r="AW20" s="47">
        <v>22.39</v>
      </c>
    </row>
    <row r="21" spans="1:49" s="25" customFormat="1" x14ac:dyDescent="0.25">
      <c r="A21" s="4">
        <v>1.4</v>
      </c>
      <c r="B21" s="5">
        <v>25.119</v>
      </c>
      <c r="C21" s="5">
        <v>5.1660000000000004</v>
      </c>
      <c r="D21" s="27">
        <f t="shared" si="20"/>
        <v>28.184004985097488</v>
      </c>
      <c r="E21" s="6" t="s">
        <v>10</v>
      </c>
      <c r="F21" s="45">
        <f t="shared" si="21"/>
        <v>2.5601284800000002E-2</v>
      </c>
      <c r="G21" s="18">
        <f t="shared" si="22"/>
        <v>7.5266422877521957E-2</v>
      </c>
      <c r="H21" s="10">
        <f t="shared" si="13"/>
        <v>4.9425484080000011E-4</v>
      </c>
      <c r="I21" s="7">
        <f t="shared" si="23"/>
        <v>4.9425484080000012E-2</v>
      </c>
      <c r="J21" s="43">
        <v>0.1</v>
      </c>
      <c r="K21" s="113"/>
      <c r="L21">
        <v>0.2</v>
      </c>
      <c r="M21" s="7">
        <f t="shared" si="24"/>
        <v>5.7613168724279844E-2</v>
      </c>
      <c r="N21">
        <f>J21*H21*(1-M21/F21)</f>
        <v>-6.1801697517551978E-5</v>
      </c>
      <c r="O21">
        <v>0</v>
      </c>
      <c r="P21" s="87"/>
      <c r="Q21">
        <v>0.15</v>
      </c>
      <c r="R21" s="7">
        <f t="shared" si="14"/>
        <v>3.2407407407407406E-2</v>
      </c>
      <c r="S21">
        <f>J21*H21*(1-R21/F21)</f>
        <v>-1.3139805568622975E-5</v>
      </c>
      <c r="T21">
        <v>0</v>
      </c>
      <c r="U21" s="87"/>
      <c r="V21">
        <v>0.1</v>
      </c>
      <c r="W21" s="7">
        <f t="shared" si="15"/>
        <v>1.4403292181069961E-2</v>
      </c>
      <c r="X21">
        <f>J21*H21*(1-W21/F21)</f>
        <v>2.1618688680612014E-5</v>
      </c>
      <c r="Y21">
        <f t="shared" si="30"/>
        <v>7.9340587457846097E-6</v>
      </c>
      <c r="Z21" s="87"/>
      <c r="AA21">
        <v>7.4999999999999997E-2</v>
      </c>
      <c r="AB21" s="7">
        <f t="shared" si="16"/>
        <v>8.1018518518518514E-3</v>
      </c>
      <c r="AC21">
        <f>J21*H21*(1-AB21/F21)</f>
        <v>3.3784161667844267E-5</v>
      </c>
      <c r="AD21">
        <f t="shared" si="25"/>
        <v>4.8311351185017297E-6</v>
      </c>
      <c r="AE21" s="87"/>
      <c r="AF21">
        <v>0.05</v>
      </c>
      <c r="AG21" s="7">
        <f t="shared" si="17"/>
        <v>3.6008230452674902E-3</v>
      </c>
      <c r="AH21">
        <f>J21*H21*(1-AG21/F21)</f>
        <v>4.2473785230153013E-5</v>
      </c>
      <c r="AI21">
        <f t="shared" si="26"/>
        <v>4.8844853014675964E-6</v>
      </c>
      <c r="AJ21" s="87"/>
      <c r="AK21">
        <v>2.5000000000000001E-2</v>
      </c>
      <c r="AL21" s="7">
        <f t="shared" si="18"/>
        <v>9.0020576131687256E-4</v>
      </c>
      <c r="AM21">
        <f>J21*H21*(1-AL21/F21)</f>
        <v>4.7687559367538263E-5</v>
      </c>
      <c r="AN21">
        <f t="shared" si="27"/>
        <v>0</v>
      </c>
      <c r="AO21" s="87"/>
      <c r="AP21">
        <v>1E-3</v>
      </c>
      <c r="AQ21" s="7">
        <f t="shared" si="19"/>
        <v>1.440329218106996E-6</v>
      </c>
      <c r="AR21" s="10">
        <f>0.1*H21*(1-AQ21/F21)</f>
        <v>4.9422703400460073E-5</v>
      </c>
      <c r="AS21" s="10">
        <f t="shared" si="28"/>
        <v>0</v>
      </c>
      <c r="AU21">
        <f t="shared" si="29"/>
        <v>4.9736795889094589E-4</v>
      </c>
      <c r="AV21"/>
      <c r="AW21" s="47">
        <v>28.18</v>
      </c>
    </row>
    <row r="22" spans="1:49" s="25" customFormat="1" x14ac:dyDescent="0.25">
      <c r="A22" s="4">
        <v>1.5</v>
      </c>
      <c r="B22" s="5">
        <v>31.623000000000001</v>
      </c>
      <c r="C22" s="5">
        <v>6.5039999999999996</v>
      </c>
      <c r="D22" s="27">
        <f t="shared" si="20"/>
        <v>35.481590339216758</v>
      </c>
      <c r="E22" s="6" t="s">
        <v>11</v>
      </c>
      <c r="F22" s="45">
        <f t="shared" si="21"/>
        <v>3.2230161600000001E-2</v>
      </c>
      <c r="G22" s="18">
        <f t="shared" si="22"/>
        <v>8.5310339253953912E-2</v>
      </c>
      <c r="H22" s="10">
        <f t="shared" si="13"/>
        <v>7.8334246853333357E-4</v>
      </c>
      <c r="I22" s="7">
        <f t="shared" si="23"/>
        <v>7.8334246853333359E-2</v>
      </c>
      <c r="J22" s="43">
        <v>5.6000000000000001E-2</v>
      </c>
      <c r="K22" s="113"/>
      <c r="L22">
        <v>0.2</v>
      </c>
      <c r="M22" s="7">
        <f t="shared" si="24"/>
        <v>5.7613168724279844E-2</v>
      </c>
      <c r="N22">
        <f>J22*H22*(1-M22/F22)</f>
        <v>-3.4547791337596755E-5</v>
      </c>
      <c r="O22">
        <v>0</v>
      </c>
      <c r="P22" s="87"/>
      <c r="Q22">
        <v>0.15</v>
      </c>
      <c r="R22" s="7">
        <f t="shared" si="14"/>
        <v>3.2407407407407406E-2</v>
      </c>
      <c r="S22">
        <f>J22*H22*(1-R22/F22)</f>
        <v>-2.4124214833149478E-7</v>
      </c>
      <c r="T22">
        <v>0</v>
      </c>
      <c r="U22" s="87"/>
      <c r="V22">
        <v>0.1</v>
      </c>
      <c r="W22" s="7">
        <f t="shared" si="15"/>
        <v>1.4403292181069961E-2</v>
      </c>
      <c r="X22">
        <f>J22*H22*(1-W22/F22)</f>
        <v>2.4263435844000818E-5</v>
      </c>
      <c r="Y22">
        <f t="shared" si="30"/>
        <v>8.9046809547482992E-6</v>
      </c>
      <c r="Z22" s="87"/>
      <c r="AA22">
        <v>7.4999999999999997E-2</v>
      </c>
      <c r="AB22" s="7">
        <f t="shared" si="16"/>
        <v>8.1018518518518514E-3</v>
      </c>
      <c r="AC22">
        <f>J22*H22*(1-AB22/F22)</f>
        <v>3.2840073141317138E-5</v>
      </c>
      <c r="AD22">
        <f t="shared" si="25"/>
        <v>4.6961304592083501E-6</v>
      </c>
      <c r="AE22" s="87"/>
      <c r="AF22">
        <v>0.05</v>
      </c>
      <c r="AG22" s="7">
        <f t="shared" si="17"/>
        <v>3.6008230452674902E-3</v>
      </c>
      <c r="AH22">
        <f>J22*H22*(1-AG22/F22)</f>
        <v>3.8966242639400216E-5</v>
      </c>
      <c r="AI22">
        <f t="shared" si="26"/>
        <v>4.4811179035310249E-6</v>
      </c>
      <c r="AJ22" s="87"/>
      <c r="AK22">
        <v>2.5000000000000001E-2</v>
      </c>
      <c r="AL22" s="7">
        <f t="shared" si="18"/>
        <v>9.0020576131687256E-4</v>
      </c>
      <c r="AM22">
        <f>J22*H22*(1-AL22/F22)</f>
        <v>4.2641944338250061E-5</v>
      </c>
      <c r="AN22">
        <f t="shared" si="27"/>
        <v>0</v>
      </c>
      <c r="AO22" s="87"/>
      <c r="AP22">
        <v>1E-3</v>
      </c>
      <c r="AQ22" s="7">
        <f t="shared" si="19"/>
        <v>1.440329218106996E-6</v>
      </c>
      <c r="AR22" s="10">
        <f>0.1*H22*(1-AQ22/F22)</f>
        <v>7.8330746185048745E-5</v>
      </c>
      <c r="AS22" s="10">
        <f t="shared" si="28"/>
        <v>0</v>
      </c>
      <c r="AU22">
        <f t="shared" si="29"/>
        <v>6.4154685218446264E-4</v>
      </c>
      <c r="AV22"/>
      <c r="AW22" s="47">
        <v>35.479999999999997</v>
      </c>
    </row>
    <row r="23" spans="1:49" s="25" customFormat="1" x14ac:dyDescent="0.25">
      <c r="A23" s="4">
        <v>1.6</v>
      </c>
      <c r="B23" s="5">
        <v>39.811</v>
      </c>
      <c r="C23" s="5">
        <v>8.1880000000000006</v>
      </c>
      <c r="D23" s="27">
        <f t="shared" si="20"/>
        <v>44.668641226256256</v>
      </c>
      <c r="E23" s="6" t="s">
        <v>12</v>
      </c>
      <c r="F23" s="45">
        <f t="shared" si="21"/>
        <v>4.0575371200000002E-2</v>
      </c>
      <c r="G23" s="18">
        <f t="shared" si="22"/>
        <v>9.6694479312890325E-2</v>
      </c>
      <c r="H23" s="10">
        <f t="shared" si="13"/>
        <v>1.2415122278222224E-3</v>
      </c>
      <c r="I23" s="7">
        <f t="shared" si="23"/>
        <v>0.12415122278222224</v>
      </c>
      <c r="J23" s="43">
        <v>0</v>
      </c>
      <c r="K23" s="113"/>
      <c r="L23">
        <v>0.2</v>
      </c>
      <c r="M23" s="7">
        <f t="shared" si="24"/>
        <v>5.7613168724279844E-2</v>
      </c>
      <c r="N23">
        <f>J23*H23*(1-M23/F23)</f>
        <v>0</v>
      </c>
      <c r="O23">
        <v>0</v>
      </c>
      <c r="P23" s="87"/>
      <c r="Q23">
        <v>0.15</v>
      </c>
      <c r="R23" s="7">
        <f t="shared" si="14"/>
        <v>3.2407407407407406E-2</v>
      </c>
      <c r="S23">
        <f>J23*H23*(1-R23/F23)</f>
        <v>0</v>
      </c>
      <c r="T23">
        <f>S23*$T$2</f>
        <v>0</v>
      </c>
      <c r="U23" s="87"/>
      <c r="V23">
        <v>0.1</v>
      </c>
      <c r="W23" s="7">
        <f t="shared" si="15"/>
        <v>1.4403292181069961E-2</v>
      </c>
      <c r="X23">
        <f>J23*H23*(1-W23/F23)</f>
        <v>0</v>
      </c>
      <c r="Y23">
        <f t="shared" si="30"/>
        <v>0</v>
      </c>
      <c r="Z23" s="87"/>
      <c r="AA23">
        <v>7.4999999999999997E-2</v>
      </c>
      <c r="AB23" s="7">
        <f t="shared" si="16"/>
        <v>8.1018518518518514E-3</v>
      </c>
      <c r="AC23">
        <f>J23*H23*(1-AB23/F23)</f>
        <v>0</v>
      </c>
      <c r="AD23">
        <f t="shared" si="25"/>
        <v>0</v>
      </c>
      <c r="AE23" s="87"/>
      <c r="AF23">
        <v>0.05</v>
      </c>
      <c r="AG23" s="7">
        <f t="shared" si="17"/>
        <v>3.6008230452674902E-3</v>
      </c>
      <c r="AH23">
        <f>J23*H23*(1-AG23/F23)</f>
        <v>0</v>
      </c>
      <c r="AI23">
        <f t="shared" si="26"/>
        <v>0</v>
      </c>
      <c r="AJ23" s="87"/>
      <c r="AK23">
        <v>2.5000000000000001E-2</v>
      </c>
      <c r="AL23" s="7">
        <f t="shared" si="18"/>
        <v>9.0020576131687256E-4</v>
      </c>
      <c r="AM23">
        <f>J23*H23*(1-AL23/F23)</f>
        <v>0</v>
      </c>
      <c r="AN23" s="1">
        <v>0</v>
      </c>
      <c r="AO23" s="87"/>
      <c r="AP23">
        <v>1E-3</v>
      </c>
      <c r="AQ23" s="7">
        <f t="shared" si="19"/>
        <v>1.440329218106996E-6</v>
      </c>
      <c r="AR23" s="10">
        <f>0.1*H23*(1-AQ23/F23)</f>
        <v>1.2414681570895714E-4</v>
      </c>
      <c r="AS23" s="1">
        <v>0</v>
      </c>
      <c r="AU23">
        <f t="shared" si="29"/>
        <v>0</v>
      </c>
      <c r="AV23"/>
      <c r="AW23" s="47">
        <v>44.67</v>
      </c>
    </row>
    <row r="24" spans="1:49" s="25" customFormat="1" x14ac:dyDescent="0.25">
      <c r="A24" s="4">
        <v>1.7</v>
      </c>
      <c r="B24" s="5">
        <v>50.119</v>
      </c>
      <c r="C24" s="5">
        <v>10.308</v>
      </c>
      <c r="D24" s="27">
        <f t="shared" si="20"/>
        <v>56.234406051811376</v>
      </c>
      <c r="E24" s="6" t="s">
        <v>13</v>
      </c>
      <c r="F24" s="45">
        <f t="shared" si="21"/>
        <v>5.1081284800000001E-2</v>
      </c>
      <c r="G24" s="18">
        <f t="shared" si="22"/>
        <v>0.10959766563810838</v>
      </c>
      <c r="H24" s="10">
        <f t="shared" si="13"/>
        <v>1.9676585749333333E-3</v>
      </c>
      <c r="I24" s="7">
        <f t="shared" si="23"/>
        <v>0.19676585749333333</v>
      </c>
      <c r="J24" s="43">
        <v>0</v>
      </c>
      <c r="K24" s="113"/>
      <c r="L24">
        <v>0.2</v>
      </c>
      <c r="M24" s="7">
        <f t="shared" si="24"/>
        <v>5.7613168724279844E-2</v>
      </c>
      <c r="N24">
        <f>J24*H24*(1-M24/F24)</f>
        <v>0</v>
      </c>
      <c r="O24">
        <v>0</v>
      </c>
      <c r="P24" s="87"/>
      <c r="Q24">
        <v>0.15</v>
      </c>
      <c r="R24" s="7">
        <f t="shared" si="14"/>
        <v>3.2407407407407406E-2</v>
      </c>
      <c r="S24">
        <f>J24*H24*(1-R24/F24)</f>
        <v>0</v>
      </c>
      <c r="T24">
        <f>S24*$T$2</f>
        <v>0</v>
      </c>
      <c r="U24" s="87"/>
      <c r="V24">
        <v>0.1</v>
      </c>
      <c r="W24" s="7">
        <f t="shared" si="15"/>
        <v>1.4403292181069961E-2</v>
      </c>
      <c r="X24">
        <f>J24*H24*(1-W24/F24)</f>
        <v>0</v>
      </c>
      <c r="Y24">
        <f t="shared" si="30"/>
        <v>0</v>
      </c>
      <c r="Z24" s="87"/>
      <c r="AA24">
        <v>7.4999999999999997E-2</v>
      </c>
      <c r="AB24" s="7">
        <f t="shared" si="16"/>
        <v>8.1018518518518514E-3</v>
      </c>
      <c r="AC24">
        <f>J24*H24*(1-AB24/F24)</f>
        <v>0</v>
      </c>
      <c r="AD24">
        <f t="shared" si="25"/>
        <v>0</v>
      </c>
      <c r="AE24" s="87"/>
      <c r="AF24">
        <v>0.05</v>
      </c>
      <c r="AG24" s="7">
        <f t="shared" si="17"/>
        <v>3.6008230452674902E-3</v>
      </c>
      <c r="AH24">
        <f>J24*H24*(1-AG24/F24)</f>
        <v>0</v>
      </c>
      <c r="AI24" s="1">
        <v>0</v>
      </c>
      <c r="AJ24" s="87"/>
      <c r="AK24">
        <v>2.5000000000000001E-2</v>
      </c>
      <c r="AL24" s="7">
        <f t="shared" si="18"/>
        <v>9.0020576131687256E-4</v>
      </c>
      <c r="AM24">
        <f>J24*H24*(1-AL24/F24)</f>
        <v>0</v>
      </c>
      <c r="AN24" s="1">
        <v>0</v>
      </c>
      <c r="AO24" s="87"/>
      <c r="AP24">
        <v>1E-3</v>
      </c>
      <c r="AQ24" s="7">
        <f t="shared" si="19"/>
        <v>1.440329218106996E-6</v>
      </c>
      <c r="AR24" s="10">
        <f>0.1*H24*(1-AQ24/F24)</f>
        <v>1.9676030932408147E-4</v>
      </c>
      <c r="AS24" s="1">
        <v>0</v>
      </c>
      <c r="AU24">
        <f t="shared" si="29"/>
        <v>0</v>
      </c>
      <c r="AV24"/>
      <c r="AW24" s="47">
        <v>56.23</v>
      </c>
    </row>
    <row r="25" spans="1:49" s="25" customFormat="1" x14ac:dyDescent="0.25">
      <c r="A25" s="4">
        <v>1.8</v>
      </c>
      <c r="B25" s="5">
        <v>63.095999999999997</v>
      </c>
      <c r="C25" s="5">
        <v>12.977</v>
      </c>
      <c r="D25" s="5"/>
      <c r="E25" s="6"/>
      <c r="F25"/>
      <c r="G25" s="18">
        <v>0.124</v>
      </c>
      <c r="H25"/>
      <c r="I25" s="11" t="s">
        <v>18</v>
      </c>
      <c r="J25" s="11">
        <f>SUM(J17:J24)</f>
        <v>2.2120000000000002</v>
      </c>
      <c r="K25" s="113"/>
      <c r="L25"/>
      <c r="M25"/>
      <c r="N25"/>
      <c r="O25" s="46">
        <v>0</v>
      </c>
      <c r="P25" s="87"/>
      <c r="Q25"/>
      <c r="R25"/>
      <c r="S25"/>
      <c r="T25" s="46">
        <f>SUM(T23:T24)</f>
        <v>0</v>
      </c>
      <c r="U25" s="87"/>
      <c r="V25"/>
      <c r="W25"/>
      <c r="X25"/>
      <c r="Y25" s="46">
        <f>SUM(Y19:Y24)</f>
        <v>2.5254358030329287E-5</v>
      </c>
      <c r="Z25" s="87"/>
      <c r="AA25"/>
      <c r="AB25"/>
      <c r="AC25"/>
      <c r="AD25" s="46">
        <f>SUM(AD17:AD24)</f>
        <v>2.4709061638649212E-5</v>
      </c>
      <c r="AE25" s="87"/>
      <c r="AF25"/>
      <c r="AG25"/>
      <c r="AH25"/>
      <c r="AI25" s="46">
        <f>SUM(AI17:AI24)</f>
        <v>3.1773042971031846E-5</v>
      </c>
      <c r="AJ25" s="87"/>
      <c r="AK25"/>
      <c r="AL25"/>
      <c r="AM25"/>
      <c r="AN25" s="46">
        <f>SUM(AN17:AN24)</f>
        <v>0</v>
      </c>
      <c r="AO25" s="87"/>
      <c r="AP25"/>
      <c r="AQ25"/>
      <c r="AR25"/>
      <c r="AS25" s="46">
        <f>SUM(AS17:AS24)</f>
        <v>0</v>
      </c>
      <c r="AT25" s="11" t="s">
        <v>89</v>
      </c>
      <c r="AU25" s="55">
        <f>SUM(AU17:AU24)</f>
        <v>1.9427392375299026E-3</v>
      </c>
      <c r="AV25" s="87" t="s">
        <v>154</v>
      </c>
      <c r="AW25" s="87"/>
    </row>
    <row r="26" spans="1:49" s="25" customFormat="1" x14ac:dyDescent="0.25">
      <c r="A26"/>
      <c r="B26"/>
      <c r="C26"/>
      <c r="D26"/>
      <c r="E26" s="6"/>
      <c r="F26" t="s">
        <v>52</v>
      </c>
      <c r="G26" t="s">
        <v>56</v>
      </c>
      <c r="H26"/>
      <c r="I26"/>
      <c r="J26"/>
      <c r="K26" s="113"/>
      <c r="L26"/>
      <c r="M26"/>
      <c r="N26"/>
      <c r="O26" s="46">
        <v>0</v>
      </c>
      <c r="P26" s="87"/>
      <c r="Q26"/>
      <c r="R26"/>
      <c r="S26"/>
      <c r="T26" s="25">
        <f>100*T25/$AU$13</f>
        <v>0</v>
      </c>
      <c r="U26" s="87"/>
      <c r="V26"/>
      <c r="W26"/>
      <c r="X26"/>
      <c r="Y26" s="25">
        <f>100*Y25/$AU$13</f>
        <v>20.642349247648557</v>
      </c>
      <c r="Z26" s="87"/>
      <c r="AA26"/>
      <c r="AB26"/>
      <c r="AC26"/>
      <c r="AD26" s="25">
        <f>100*AD25/$AU$13</f>
        <v>20.196636133617922</v>
      </c>
      <c r="AE26" s="87"/>
      <c r="AF26"/>
      <c r="AG26"/>
      <c r="AH26"/>
      <c r="AI26" s="25">
        <f>100*AI25/$AU$13</f>
        <v>25.970576994311852</v>
      </c>
      <c r="AJ26" s="87"/>
      <c r="AK26"/>
      <c r="AL26"/>
      <c r="AM26"/>
      <c r="AN26" s="25">
        <f>100*AN25/$AU$13</f>
        <v>0</v>
      </c>
      <c r="AO26" s="87"/>
      <c r="AP26"/>
      <c r="AQ26"/>
      <c r="AR26" s="116" t="s">
        <v>111</v>
      </c>
      <c r="AS26" s="25">
        <f>100*AS25/$AU$13</f>
        <v>0</v>
      </c>
      <c r="AT26" s="11" t="s">
        <v>90</v>
      </c>
      <c r="AU26" s="82">
        <f>O25+T25+Y25+AD25+AI25+AN25+AS25</f>
        <v>8.1736462640010345E-5</v>
      </c>
      <c r="AV26" s="106">
        <f>AU25/AU26</f>
        <v>23.768330250432484</v>
      </c>
      <c r="AW26" s="87" t="s">
        <v>91</v>
      </c>
    </row>
    <row r="27" spans="1:49" s="25" customFormat="1" x14ac:dyDescent="0.25">
      <c r="E27" s="34"/>
    </row>
    <row r="28" spans="1:49" s="25" customFormat="1" x14ac:dyDescent="0.25">
      <c r="E28" s="34"/>
    </row>
    <row r="29" spans="1:49" s="25" customFormat="1" x14ac:dyDescent="0.25">
      <c r="E29" s="34"/>
    </row>
    <row r="30" spans="1:49" s="25" customFormat="1" x14ac:dyDescent="0.25">
      <c r="E30" s="34"/>
    </row>
    <row r="31" spans="1:49" s="25" customFormat="1" x14ac:dyDescent="0.25">
      <c r="E31" s="34"/>
    </row>
    <row r="32" spans="1:49" s="25" customFormat="1" x14ac:dyDescent="0.25">
      <c r="E32" s="34"/>
    </row>
    <row r="33" spans="5:5" s="25" customFormat="1" x14ac:dyDescent="0.25">
      <c r="E33" s="34"/>
    </row>
    <row r="34" spans="5:5" s="25" customFormat="1" x14ac:dyDescent="0.25">
      <c r="E34" s="34"/>
    </row>
    <row r="35" spans="5:5" s="25" customFormat="1" x14ac:dyDescent="0.25">
      <c r="E35" s="34"/>
    </row>
    <row r="36" spans="5:5" s="25" customFormat="1" x14ac:dyDescent="0.25">
      <c r="E36" s="34"/>
    </row>
    <row r="37" spans="5:5" s="25" customFormat="1" x14ac:dyDescent="0.25">
      <c r="E37" s="34"/>
    </row>
    <row r="38" spans="5:5" s="25" customFormat="1" x14ac:dyDescent="0.25">
      <c r="E38" s="34"/>
    </row>
    <row r="39" spans="5:5" s="25" customFormat="1" x14ac:dyDescent="0.25">
      <c r="E39" s="34"/>
    </row>
    <row r="40" spans="5:5" s="25" customFormat="1" x14ac:dyDescent="0.25">
      <c r="E40" s="34"/>
    </row>
    <row r="41" spans="5:5" s="25" customFormat="1" x14ac:dyDescent="0.25">
      <c r="E41" s="34"/>
    </row>
    <row r="42" spans="5:5" s="25" customFormat="1" x14ac:dyDescent="0.25">
      <c r="E42" s="34"/>
    </row>
    <row r="43" spans="5:5" s="25" customFormat="1" x14ac:dyDescent="0.25">
      <c r="E43" s="34"/>
    </row>
    <row r="44" spans="5:5" s="25" customFormat="1" x14ac:dyDescent="0.25">
      <c r="E44" s="34"/>
    </row>
    <row r="45" spans="5:5" s="25" customFormat="1" x14ac:dyDescent="0.25">
      <c r="E45" s="34"/>
    </row>
    <row r="46" spans="5:5" s="25" customFormat="1" x14ac:dyDescent="0.25">
      <c r="E46" s="34"/>
    </row>
    <row r="47" spans="5:5" s="25" customFormat="1" x14ac:dyDescent="0.25">
      <c r="E47" s="34"/>
    </row>
    <row r="48" spans="5:5" s="25" customFormat="1" x14ac:dyDescent="0.25">
      <c r="E48" s="34"/>
    </row>
    <row r="49" spans="5:5" s="25" customFormat="1" x14ac:dyDescent="0.25">
      <c r="E49" s="34"/>
    </row>
    <row r="50" spans="5:5" s="25" customFormat="1" x14ac:dyDescent="0.25">
      <c r="E50" s="34"/>
    </row>
    <row r="51" spans="5:5" s="25" customFormat="1" x14ac:dyDescent="0.25">
      <c r="E51" s="34"/>
    </row>
    <row r="52" spans="5:5" s="25" customFormat="1" x14ac:dyDescent="0.25">
      <c r="E52" s="34"/>
    </row>
    <row r="53" spans="5:5" s="25" customFormat="1" x14ac:dyDescent="0.25">
      <c r="E53" s="34"/>
    </row>
    <row r="54" spans="5:5" s="25" customFormat="1" x14ac:dyDescent="0.25">
      <c r="E54" s="34"/>
    </row>
    <row r="55" spans="5:5" s="25" customFormat="1" x14ac:dyDescent="0.25">
      <c r="E55" s="34"/>
    </row>
    <row r="56" spans="5:5" s="25" customFormat="1" x14ac:dyDescent="0.25">
      <c r="E56" s="34"/>
    </row>
    <row r="57" spans="5:5" s="25" customFormat="1" x14ac:dyDescent="0.25">
      <c r="E57" s="34"/>
    </row>
    <row r="58" spans="5:5" s="25" customFormat="1" x14ac:dyDescent="0.25">
      <c r="E58" s="34"/>
    </row>
    <row r="59" spans="5:5" s="25" customFormat="1" x14ac:dyDescent="0.25">
      <c r="E59" s="34"/>
    </row>
    <row r="60" spans="5:5" s="25" customFormat="1" x14ac:dyDescent="0.25">
      <c r="E60" s="34"/>
    </row>
    <row r="61" spans="5:5" s="25" customFormat="1" x14ac:dyDescent="0.25">
      <c r="E61" s="34"/>
    </row>
    <row r="62" spans="5:5" s="25" customFormat="1" x14ac:dyDescent="0.25">
      <c r="E62" s="34"/>
    </row>
    <row r="63" spans="5:5" s="25" customFormat="1" x14ac:dyDescent="0.25">
      <c r="E63" s="34"/>
    </row>
    <row r="64" spans="5:5" s="25" customFormat="1" x14ac:dyDescent="0.25">
      <c r="E64" s="34"/>
    </row>
    <row r="65" spans="5:5" s="25" customFormat="1" x14ac:dyDescent="0.25">
      <c r="E65" s="34"/>
    </row>
    <row r="66" spans="5:5" s="25" customFormat="1" x14ac:dyDescent="0.25">
      <c r="E66" s="34"/>
    </row>
    <row r="67" spans="5:5" s="25" customFormat="1" x14ac:dyDescent="0.25">
      <c r="E67" s="34"/>
    </row>
    <row r="68" spans="5:5" s="25" customFormat="1" x14ac:dyDescent="0.25">
      <c r="E68" s="34"/>
    </row>
    <row r="69" spans="5:5" s="25" customFormat="1" x14ac:dyDescent="0.25">
      <c r="E69" s="34"/>
    </row>
    <row r="70" spans="5:5" s="25" customFormat="1" x14ac:dyDescent="0.25">
      <c r="E70" s="34"/>
    </row>
    <row r="71" spans="5:5" s="25" customFormat="1" x14ac:dyDescent="0.25">
      <c r="E71" s="34"/>
    </row>
    <row r="72" spans="5:5" s="25" customFormat="1" x14ac:dyDescent="0.25">
      <c r="E72" s="34"/>
    </row>
    <row r="73" spans="5:5" s="25" customFormat="1" x14ac:dyDescent="0.25">
      <c r="E73" s="34"/>
    </row>
    <row r="74" spans="5:5" s="25" customFormat="1" x14ac:dyDescent="0.25">
      <c r="E74" s="34"/>
    </row>
    <row r="75" spans="5:5" s="25" customFormat="1" x14ac:dyDescent="0.25">
      <c r="E75" s="34"/>
    </row>
    <row r="76" spans="5:5" s="25" customFormat="1" x14ac:dyDescent="0.25">
      <c r="E76" s="34"/>
    </row>
    <row r="77" spans="5:5" s="25" customFormat="1" x14ac:dyDescent="0.25">
      <c r="E77" s="34"/>
    </row>
    <row r="78" spans="5:5" s="25" customFormat="1" x14ac:dyDescent="0.25">
      <c r="E78" s="34"/>
    </row>
    <row r="79" spans="5:5" s="25" customFormat="1" x14ac:dyDescent="0.25">
      <c r="E79" s="34"/>
    </row>
    <row r="80" spans="5:5" s="25" customFormat="1" x14ac:dyDescent="0.25">
      <c r="E80" s="34"/>
    </row>
    <row r="81" spans="5:5" s="25" customFormat="1" x14ac:dyDescent="0.25">
      <c r="E81" s="34"/>
    </row>
    <row r="82" spans="5:5" s="25" customFormat="1" x14ac:dyDescent="0.25">
      <c r="E82" s="34"/>
    </row>
    <row r="83" spans="5:5" s="25" customFormat="1" x14ac:dyDescent="0.25">
      <c r="E83" s="34"/>
    </row>
    <row r="84" spans="5:5" s="25" customFormat="1" x14ac:dyDescent="0.25">
      <c r="E84" s="34"/>
    </row>
    <row r="85" spans="5:5" s="25" customFormat="1" x14ac:dyDescent="0.25">
      <c r="E85" s="34"/>
    </row>
    <row r="86" spans="5:5" s="25" customFormat="1" x14ac:dyDescent="0.25">
      <c r="E86" s="34"/>
    </row>
    <row r="87" spans="5:5" s="25" customFormat="1" x14ac:dyDescent="0.25">
      <c r="E87" s="34"/>
    </row>
    <row r="88" spans="5:5" s="25" customFormat="1" x14ac:dyDescent="0.25">
      <c r="E88" s="34"/>
    </row>
    <row r="89" spans="5:5" s="25" customFormat="1" x14ac:dyDescent="0.25">
      <c r="E89" s="34"/>
    </row>
    <row r="90" spans="5:5" s="25" customFormat="1" x14ac:dyDescent="0.25">
      <c r="E90" s="34"/>
    </row>
    <row r="91" spans="5:5" s="25" customFormat="1" x14ac:dyDescent="0.25">
      <c r="E91" s="34"/>
    </row>
    <row r="92" spans="5:5" s="25" customFormat="1" x14ac:dyDescent="0.25">
      <c r="E92" s="34"/>
    </row>
    <row r="93" spans="5:5" s="25" customFormat="1" x14ac:dyDescent="0.25">
      <c r="E93" s="34"/>
    </row>
    <row r="94" spans="5:5" s="25" customFormat="1" x14ac:dyDescent="0.25">
      <c r="E94" s="34"/>
    </row>
    <row r="95" spans="5:5" s="25" customFormat="1" x14ac:dyDescent="0.25">
      <c r="E95" s="34"/>
    </row>
    <row r="96" spans="5:5" s="25" customFormat="1" x14ac:dyDescent="0.25">
      <c r="E96" s="34"/>
    </row>
    <row r="97" spans="5:5" s="25" customFormat="1" x14ac:dyDescent="0.25">
      <c r="E97" s="34"/>
    </row>
    <row r="98" spans="5:5" s="25" customFormat="1" x14ac:dyDescent="0.25">
      <c r="E98" s="34"/>
    </row>
    <row r="99" spans="5:5" s="25" customFormat="1" x14ac:dyDescent="0.25">
      <c r="E99" s="34"/>
    </row>
    <row r="100" spans="5:5" s="25" customFormat="1" x14ac:dyDescent="0.25">
      <c r="E100" s="34"/>
    </row>
    <row r="101" spans="5:5" s="25" customFormat="1" x14ac:dyDescent="0.25">
      <c r="E101" s="34"/>
    </row>
    <row r="102" spans="5:5" s="25" customFormat="1" x14ac:dyDescent="0.25">
      <c r="E102" s="34"/>
    </row>
    <row r="103" spans="5:5" s="25" customFormat="1" x14ac:dyDescent="0.25">
      <c r="E103" s="34"/>
    </row>
    <row r="104" spans="5:5" s="25" customFormat="1" x14ac:dyDescent="0.25">
      <c r="E104" s="34"/>
    </row>
    <row r="105" spans="5:5" s="25" customFormat="1" x14ac:dyDescent="0.25">
      <c r="E105" s="34"/>
    </row>
    <row r="106" spans="5:5" s="25" customFormat="1" x14ac:dyDescent="0.25">
      <c r="E106" s="34"/>
    </row>
    <row r="107" spans="5:5" s="25" customFormat="1" x14ac:dyDescent="0.25">
      <c r="E107" s="34"/>
    </row>
    <row r="108" spans="5:5" s="25" customFormat="1" x14ac:dyDescent="0.25">
      <c r="E108" s="34"/>
    </row>
    <row r="109" spans="5:5" s="25" customFormat="1" x14ac:dyDescent="0.25">
      <c r="E109" s="34"/>
    </row>
    <row r="110" spans="5:5" s="25" customFormat="1" x14ac:dyDescent="0.25">
      <c r="E110" s="34"/>
    </row>
    <row r="111" spans="5:5" s="25" customFormat="1" x14ac:dyDescent="0.25">
      <c r="E111" s="34"/>
    </row>
    <row r="112" spans="5:5" s="25" customFormat="1" x14ac:dyDescent="0.25">
      <c r="E112" s="34"/>
    </row>
    <row r="113" spans="5:5" s="25" customFormat="1" x14ac:dyDescent="0.25">
      <c r="E113" s="34"/>
    </row>
    <row r="114" spans="5:5" s="25" customFormat="1" x14ac:dyDescent="0.25">
      <c r="E114" s="34"/>
    </row>
    <row r="115" spans="5:5" s="25" customFormat="1" x14ac:dyDescent="0.25">
      <c r="E115" s="34"/>
    </row>
    <row r="116" spans="5:5" s="25" customFormat="1" x14ac:dyDescent="0.25">
      <c r="E116" s="34"/>
    </row>
    <row r="117" spans="5:5" s="25" customFormat="1" x14ac:dyDescent="0.25">
      <c r="E117" s="34"/>
    </row>
    <row r="118" spans="5:5" s="25" customFormat="1" x14ac:dyDescent="0.25">
      <c r="E118" s="34"/>
    </row>
    <row r="119" spans="5:5" s="25" customFormat="1" x14ac:dyDescent="0.25">
      <c r="E119" s="34"/>
    </row>
    <row r="120" spans="5:5" s="25" customFormat="1" x14ac:dyDescent="0.25">
      <c r="E120" s="34"/>
    </row>
    <row r="121" spans="5:5" s="25" customFormat="1" x14ac:dyDescent="0.25">
      <c r="E121" s="34"/>
    </row>
    <row r="122" spans="5:5" s="25" customFormat="1" x14ac:dyDescent="0.25">
      <c r="E122" s="34"/>
    </row>
    <row r="123" spans="5:5" s="25" customFormat="1" x14ac:dyDescent="0.25">
      <c r="E123" s="34"/>
    </row>
    <row r="124" spans="5:5" s="25" customFormat="1" x14ac:dyDescent="0.25">
      <c r="E124" s="34"/>
    </row>
    <row r="125" spans="5:5" s="25" customFormat="1" x14ac:dyDescent="0.25">
      <c r="E125" s="34"/>
    </row>
    <row r="126" spans="5:5" s="25" customFormat="1" x14ac:dyDescent="0.25">
      <c r="E126" s="34"/>
    </row>
    <row r="127" spans="5:5" s="25" customFormat="1" x14ac:dyDescent="0.25">
      <c r="E127" s="34"/>
    </row>
    <row r="128" spans="5:5" s="25" customFormat="1" x14ac:dyDescent="0.25">
      <c r="E128" s="34"/>
    </row>
    <row r="129" spans="5:5" s="25" customFormat="1" x14ac:dyDescent="0.25">
      <c r="E129" s="34"/>
    </row>
    <row r="130" spans="5:5" s="25" customFormat="1" x14ac:dyDescent="0.25">
      <c r="E130" s="34"/>
    </row>
    <row r="131" spans="5:5" s="25" customFormat="1" x14ac:dyDescent="0.25">
      <c r="E131" s="34"/>
    </row>
    <row r="132" spans="5:5" s="25" customFormat="1" x14ac:dyDescent="0.25">
      <c r="E132" s="34"/>
    </row>
    <row r="133" spans="5:5" s="25" customFormat="1" x14ac:dyDescent="0.25">
      <c r="E133" s="34"/>
    </row>
    <row r="134" spans="5:5" s="25" customFormat="1" x14ac:dyDescent="0.25">
      <c r="E134" s="34"/>
    </row>
    <row r="135" spans="5:5" s="25" customFormat="1" x14ac:dyDescent="0.25">
      <c r="E135" s="34"/>
    </row>
    <row r="136" spans="5:5" s="25" customFormat="1" x14ac:dyDescent="0.25">
      <c r="E136" s="34"/>
    </row>
    <row r="137" spans="5:5" s="25" customFormat="1" x14ac:dyDescent="0.25">
      <c r="E137" s="34"/>
    </row>
    <row r="138" spans="5:5" s="25" customFormat="1" x14ac:dyDescent="0.25">
      <c r="E138" s="34"/>
    </row>
    <row r="139" spans="5:5" s="25" customFormat="1" x14ac:dyDescent="0.25">
      <c r="E139" s="34"/>
    </row>
    <row r="140" spans="5:5" s="25" customFormat="1" x14ac:dyDescent="0.25">
      <c r="E140" s="34"/>
    </row>
    <row r="141" spans="5:5" s="25" customFormat="1" x14ac:dyDescent="0.25">
      <c r="E141" s="34"/>
    </row>
    <row r="142" spans="5:5" s="25" customFormat="1" x14ac:dyDescent="0.25">
      <c r="E142" s="34"/>
    </row>
    <row r="143" spans="5:5" s="25" customFormat="1" x14ac:dyDescent="0.25">
      <c r="E143" s="34"/>
    </row>
    <row r="144" spans="5:5" s="25" customFormat="1" x14ac:dyDescent="0.25">
      <c r="E144" s="34"/>
    </row>
    <row r="145" spans="5:5" s="25" customFormat="1" x14ac:dyDescent="0.25">
      <c r="E145" s="34"/>
    </row>
    <row r="146" spans="5:5" s="25" customFormat="1" x14ac:dyDescent="0.25">
      <c r="E146" s="34"/>
    </row>
    <row r="147" spans="5:5" s="25" customFormat="1" x14ac:dyDescent="0.25">
      <c r="E147" s="34"/>
    </row>
    <row r="148" spans="5:5" s="25" customFormat="1" x14ac:dyDescent="0.25">
      <c r="E148" s="34"/>
    </row>
    <row r="149" spans="5:5" s="25" customFormat="1" x14ac:dyDescent="0.25">
      <c r="E149" s="34"/>
    </row>
    <row r="150" spans="5:5" s="25" customFormat="1" x14ac:dyDescent="0.25">
      <c r="E150" s="34"/>
    </row>
    <row r="151" spans="5:5" s="25" customFormat="1" x14ac:dyDescent="0.25">
      <c r="E151" s="34"/>
    </row>
    <row r="152" spans="5:5" s="25" customFormat="1" x14ac:dyDescent="0.25">
      <c r="E152" s="34"/>
    </row>
    <row r="153" spans="5:5" s="25" customFormat="1" x14ac:dyDescent="0.25">
      <c r="E153" s="34"/>
    </row>
    <row r="154" spans="5:5" s="25" customFormat="1" x14ac:dyDescent="0.25">
      <c r="E154" s="34"/>
    </row>
    <row r="155" spans="5:5" s="25" customFormat="1" x14ac:dyDescent="0.25">
      <c r="E155" s="34"/>
    </row>
    <row r="156" spans="5:5" s="25" customFormat="1" x14ac:dyDescent="0.25">
      <c r="E156" s="34"/>
    </row>
    <row r="157" spans="5:5" s="25" customFormat="1" x14ac:dyDescent="0.25">
      <c r="E157" s="34"/>
    </row>
    <row r="158" spans="5:5" s="25" customFormat="1" x14ac:dyDescent="0.25">
      <c r="E158" s="34"/>
    </row>
    <row r="159" spans="5:5" s="25" customFormat="1" x14ac:dyDescent="0.25">
      <c r="E159" s="34"/>
    </row>
    <row r="160" spans="5:5" s="25" customFormat="1" x14ac:dyDescent="0.25">
      <c r="E160" s="34"/>
    </row>
    <row r="161" spans="5:5" s="25" customFormat="1" x14ac:dyDescent="0.25">
      <c r="E161" s="34"/>
    </row>
    <row r="162" spans="5:5" s="25" customFormat="1" x14ac:dyDescent="0.25">
      <c r="E162" s="34"/>
    </row>
    <row r="163" spans="5:5" s="25" customFormat="1" x14ac:dyDescent="0.25">
      <c r="E163" s="34"/>
    </row>
    <row r="164" spans="5:5" s="25" customFormat="1" x14ac:dyDescent="0.25">
      <c r="E164" s="34"/>
    </row>
    <row r="165" spans="5:5" s="25" customFormat="1" x14ac:dyDescent="0.25">
      <c r="E165" s="34"/>
    </row>
    <row r="166" spans="5:5" s="25" customFormat="1" x14ac:dyDescent="0.25">
      <c r="E166" s="34"/>
    </row>
    <row r="167" spans="5:5" s="25" customFormat="1" x14ac:dyDescent="0.25">
      <c r="E167" s="34"/>
    </row>
    <row r="168" spans="5:5" s="25" customFormat="1" x14ac:dyDescent="0.25">
      <c r="E168" s="34"/>
    </row>
    <row r="169" spans="5:5" s="25" customFormat="1" x14ac:dyDescent="0.25">
      <c r="E169" s="34"/>
    </row>
    <row r="170" spans="5:5" s="25" customFormat="1" x14ac:dyDescent="0.25">
      <c r="E170" s="34"/>
    </row>
    <row r="171" spans="5:5" s="25" customFormat="1" x14ac:dyDescent="0.25">
      <c r="E171" s="34"/>
    </row>
    <row r="172" spans="5:5" s="25" customFormat="1" x14ac:dyDescent="0.25">
      <c r="E172" s="34"/>
    </row>
    <row r="173" spans="5:5" s="25" customFormat="1" x14ac:dyDescent="0.25">
      <c r="E173" s="34"/>
    </row>
    <row r="174" spans="5:5" s="25" customFormat="1" x14ac:dyDescent="0.25">
      <c r="E174" s="34"/>
    </row>
    <row r="175" spans="5:5" s="25" customFormat="1" x14ac:dyDescent="0.25">
      <c r="E175" s="34"/>
    </row>
    <row r="176" spans="5:5" s="25" customFormat="1" x14ac:dyDescent="0.25">
      <c r="E176" s="34"/>
    </row>
    <row r="177" spans="5:5" s="25" customFormat="1" x14ac:dyDescent="0.25">
      <c r="E177" s="34"/>
    </row>
    <row r="178" spans="5:5" s="25" customFormat="1" x14ac:dyDescent="0.25">
      <c r="E178" s="34"/>
    </row>
    <row r="179" spans="5:5" s="25" customFormat="1" x14ac:dyDescent="0.25">
      <c r="E179" s="34"/>
    </row>
    <row r="180" spans="5:5" s="25" customFormat="1" x14ac:dyDescent="0.25">
      <c r="E180" s="34"/>
    </row>
    <row r="181" spans="5:5" s="25" customFormat="1" x14ac:dyDescent="0.25">
      <c r="E181" s="34"/>
    </row>
    <row r="182" spans="5:5" s="25" customFormat="1" x14ac:dyDescent="0.25">
      <c r="E182" s="34"/>
    </row>
    <row r="183" spans="5:5" s="25" customFormat="1" x14ac:dyDescent="0.25">
      <c r="E183" s="34"/>
    </row>
    <row r="184" spans="5:5" s="25" customFormat="1" x14ac:dyDescent="0.25">
      <c r="E184" s="34"/>
    </row>
    <row r="185" spans="5:5" s="25" customFormat="1" x14ac:dyDescent="0.25">
      <c r="E185" s="34"/>
    </row>
    <row r="186" spans="5:5" s="25" customFormat="1" x14ac:dyDescent="0.25">
      <c r="E186" s="34"/>
    </row>
    <row r="187" spans="5:5" s="25" customFormat="1" x14ac:dyDescent="0.25">
      <c r="E187" s="34"/>
    </row>
    <row r="188" spans="5:5" s="25" customFormat="1" x14ac:dyDescent="0.25">
      <c r="E188" s="34"/>
    </row>
    <row r="189" spans="5:5" s="25" customFormat="1" x14ac:dyDescent="0.25">
      <c r="E189" s="34"/>
    </row>
    <row r="190" spans="5:5" s="25" customFormat="1" x14ac:dyDescent="0.25">
      <c r="E190" s="34"/>
    </row>
    <row r="191" spans="5:5" s="25" customFormat="1" x14ac:dyDescent="0.25">
      <c r="E191" s="34"/>
    </row>
    <row r="192" spans="5:5" s="25" customFormat="1" x14ac:dyDescent="0.25">
      <c r="E192" s="34"/>
    </row>
    <row r="193" spans="5:5" s="25" customFormat="1" x14ac:dyDescent="0.25">
      <c r="E193" s="34"/>
    </row>
    <row r="194" spans="5:5" s="25" customFormat="1" x14ac:dyDescent="0.25">
      <c r="E194" s="34"/>
    </row>
    <row r="195" spans="5:5" s="25" customFormat="1" x14ac:dyDescent="0.25">
      <c r="E195" s="34"/>
    </row>
    <row r="196" spans="5:5" s="25" customFormat="1" x14ac:dyDescent="0.25">
      <c r="E196" s="34"/>
    </row>
    <row r="197" spans="5:5" s="25" customFormat="1" x14ac:dyDescent="0.25">
      <c r="E197" s="34"/>
    </row>
    <row r="198" spans="5:5" s="25" customFormat="1" x14ac:dyDescent="0.25">
      <c r="E198" s="34"/>
    </row>
    <row r="199" spans="5:5" s="25" customFormat="1" x14ac:dyDescent="0.25">
      <c r="E199" s="34"/>
    </row>
    <row r="200" spans="5:5" s="25" customFormat="1" x14ac:dyDescent="0.25">
      <c r="E200" s="34"/>
    </row>
    <row r="201" spans="5:5" s="25" customFormat="1" x14ac:dyDescent="0.25">
      <c r="E201" s="34"/>
    </row>
    <row r="202" spans="5:5" s="25" customFormat="1" x14ac:dyDescent="0.25">
      <c r="E202" s="34"/>
    </row>
    <row r="203" spans="5:5" s="25" customFormat="1" x14ac:dyDescent="0.25">
      <c r="E203" s="34"/>
    </row>
    <row r="204" spans="5:5" s="25" customFormat="1" x14ac:dyDescent="0.25">
      <c r="E204" s="34"/>
    </row>
    <row r="205" spans="5:5" s="25" customFormat="1" x14ac:dyDescent="0.25">
      <c r="E205" s="34"/>
    </row>
    <row r="206" spans="5:5" s="25" customFormat="1" x14ac:dyDescent="0.25">
      <c r="E206" s="34"/>
    </row>
    <row r="207" spans="5:5" s="25" customFormat="1" x14ac:dyDescent="0.25">
      <c r="E207" s="34"/>
    </row>
    <row r="208" spans="5:5" s="25" customFormat="1" x14ac:dyDescent="0.25">
      <c r="E208" s="34"/>
    </row>
    <row r="209" spans="5:5" s="25" customFormat="1" x14ac:dyDescent="0.25">
      <c r="E209" s="34"/>
    </row>
    <row r="210" spans="5:5" s="25" customFormat="1" x14ac:dyDescent="0.25">
      <c r="E210" s="34"/>
    </row>
    <row r="211" spans="5:5" s="25" customFormat="1" x14ac:dyDescent="0.25">
      <c r="E211" s="34"/>
    </row>
    <row r="212" spans="5:5" s="25" customFormat="1" x14ac:dyDescent="0.25">
      <c r="E212" s="34"/>
    </row>
    <row r="213" spans="5:5" s="25" customFormat="1" x14ac:dyDescent="0.25">
      <c r="E213" s="34"/>
    </row>
    <row r="214" spans="5:5" s="25" customFormat="1" x14ac:dyDescent="0.25">
      <c r="E214" s="34"/>
    </row>
    <row r="215" spans="5:5" s="25" customFormat="1" x14ac:dyDescent="0.25">
      <c r="E215" s="34"/>
    </row>
    <row r="216" spans="5:5" s="25" customFormat="1" x14ac:dyDescent="0.25">
      <c r="E216" s="34"/>
    </row>
    <row r="217" spans="5:5" s="25" customFormat="1" x14ac:dyDescent="0.25">
      <c r="E217" s="34"/>
    </row>
    <row r="218" spans="5:5" s="25" customFormat="1" x14ac:dyDescent="0.25">
      <c r="E218" s="34"/>
    </row>
    <row r="219" spans="5:5" s="25" customFormat="1" x14ac:dyDescent="0.25">
      <c r="E219" s="34"/>
    </row>
    <row r="220" spans="5:5" s="25" customFormat="1" x14ac:dyDescent="0.25">
      <c r="E220" s="34"/>
    </row>
    <row r="221" spans="5:5" s="25" customFormat="1" x14ac:dyDescent="0.25">
      <c r="E221" s="34"/>
    </row>
    <row r="222" spans="5:5" s="25" customFormat="1" x14ac:dyDescent="0.25">
      <c r="E222" s="34"/>
    </row>
    <row r="223" spans="5:5" s="25" customFormat="1" x14ac:dyDescent="0.25">
      <c r="E223" s="34"/>
    </row>
    <row r="224" spans="5:5" s="25" customFormat="1" x14ac:dyDescent="0.25">
      <c r="E224" s="34"/>
    </row>
    <row r="225" spans="5:5" s="25" customFormat="1" x14ac:dyDescent="0.25">
      <c r="E225" s="34"/>
    </row>
    <row r="226" spans="5:5" s="25" customFormat="1" x14ac:dyDescent="0.25">
      <c r="E226" s="34"/>
    </row>
    <row r="227" spans="5:5" s="25" customFormat="1" x14ac:dyDescent="0.25">
      <c r="E227" s="34"/>
    </row>
    <row r="228" spans="5:5" s="25" customFormat="1" x14ac:dyDescent="0.25">
      <c r="E228" s="34"/>
    </row>
    <row r="229" spans="5:5" s="25" customFormat="1" x14ac:dyDescent="0.25">
      <c r="E229" s="34"/>
    </row>
    <row r="230" spans="5:5" s="25" customFormat="1" x14ac:dyDescent="0.25">
      <c r="E230" s="34"/>
    </row>
    <row r="231" spans="5:5" s="25" customFormat="1" x14ac:dyDescent="0.25">
      <c r="E231" s="34"/>
    </row>
    <row r="232" spans="5:5" s="25" customFormat="1" x14ac:dyDescent="0.25">
      <c r="E232" s="34"/>
    </row>
    <row r="233" spans="5:5" s="25" customFormat="1" x14ac:dyDescent="0.25">
      <c r="E233" s="34"/>
    </row>
    <row r="234" spans="5:5" s="25" customFormat="1" x14ac:dyDescent="0.25">
      <c r="E234" s="34"/>
    </row>
    <row r="235" spans="5:5" s="25" customFormat="1" x14ac:dyDescent="0.25">
      <c r="E235" s="34"/>
    </row>
    <row r="236" spans="5:5" s="25" customFormat="1" x14ac:dyDescent="0.25">
      <c r="E236" s="34"/>
    </row>
    <row r="237" spans="5:5" s="25" customFormat="1" x14ac:dyDescent="0.25">
      <c r="E237" s="34"/>
    </row>
    <row r="238" spans="5:5" s="25" customFormat="1" x14ac:dyDescent="0.25">
      <c r="E238" s="34"/>
    </row>
    <row r="239" spans="5:5" s="25" customFormat="1" x14ac:dyDescent="0.25">
      <c r="E239" s="34"/>
    </row>
    <row r="240" spans="5:5" s="25" customFormat="1" x14ac:dyDescent="0.25">
      <c r="E240" s="34"/>
    </row>
    <row r="241" spans="5:5" s="25" customFormat="1" x14ac:dyDescent="0.25">
      <c r="E241" s="34"/>
    </row>
    <row r="242" spans="5:5" s="25" customFormat="1" x14ac:dyDescent="0.25">
      <c r="E242" s="34"/>
    </row>
    <row r="243" spans="5:5" s="25" customFormat="1" x14ac:dyDescent="0.25">
      <c r="E243" s="34"/>
    </row>
    <row r="244" spans="5:5" s="25" customFormat="1" x14ac:dyDescent="0.25">
      <c r="E244" s="34"/>
    </row>
    <row r="245" spans="5:5" s="25" customFormat="1" x14ac:dyDescent="0.25">
      <c r="E245" s="34"/>
    </row>
    <row r="246" spans="5:5" s="25" customFormat="1" x14ac:dyDescent="0.25">
      <c r="E246" s="34"/>
    </row>
    <row r="247" spans="5:5" s="25" customFormat="1" x14ac:dyDescent="0.25">
      <c r="E247" s="34"/>
    </row>
    <row r="248" spans="5:5" s="25" customFormat="1" x14ac:dyDescent="0.25">
      <c r="E248" s="34"/>
    </row>
    <row r="249" spans="5:5" s="25" customFormat="1" x14ac:dyDescent="0.25">
      <c r="E249" s="34"/>
    </row>
    <row r="250" spans="5:5" s="25" customFormat="1" x14ac:dyDescent="0.25">
      <c r="E250" s="34"/>
    </row>
    <row r="251" spans="5:5" s="25" customFormat="1" x14ac:dyDescent="0.25">
      <c r="E251" s="34"/>
    </row>
    <row r="252" spans="5:5" s="25" customFormat="1" x14ac:dyDescent="0.25">
      <c r="E252" s="34"/>
    </row>
    <row r="253" spans="5:5" s="25" customFormat="1" x14ac:dyDescent="0.25">
      <c r="E253" s="34"/>
    </row>
    <row r="254" spans="5:5" s="25" customFormat="1" x14ac:dyDescent="0.25">
      <c r="E254" s="34"/>
    </row>
    <row r="255" spans="5:5" s="25" customFormat="1" x14ac:dyDescent="0.25">
      <c r="E255" s="34"/>
    </row>
    <row r="256" spans="5:5" s="25" customFormat="1" x14ac:dyDescent="0.25">
      <c r="E256" s="34"/>
    </row>
    <row r="257" spans="5:5" s="25" customFormat="1" x14ac:dyDescent="0.25">
      <c r="E257" s="34"/>
    </row>
    <row r="258" spans="5:5" s="25" customFormat="1" x14ac:dyDescent="0.25">
      <c r="E258" s="34"/>
    </row>
    <row r="259" spans="5:5" s="25" customFormat="1" x14ac:dyDescent="0.25">
      <c r="E259" s="34"/>
    </row>
    <row r="260" spans="5:5" s="25" customFormat="1" x14ac:dyDescent="0.25">
      <c r="E260" s="34"/>
    </row>
    <row r="261" spans="5:5" s="25" customFormat="1" x14ac:dyDescent="0.25">
      <c r="E261" s="34"/>
    </row>
    <row r="262" spans="5:5" s="25" customFormat="1" x14ac:dyDescent="0.25">
      <c r="E262" s="34"/>
    </row>
    <row r="263" spans="5:5" s="25" customFormat="1" x14ac:dyDescent="0.25">
      <c r="E263" s="34"/>
    </row>
    <row r="264" spans="5:5" s="25" customFormat="1" x14ac:dyDescent="0.25">
      <c r="E264" s="34"/>
    </row>
    <row r="265" spans="5:5" s="25" customFormat="1" x14ac:dyDescent="0.25">
      <c r="E265" s="34"/>
    </row>
    <row r="266" spans="5:5" s="25" customFormat="1" x14ac:dyDescent="0.25">
      <c r="E266" s="34"/>
    </row>
    <row r="267" spans="5:5" s="25" customFormat="1" x14ac:dyDescent="0.25">
      <c r="E267" s="34"/>
    </row>
    <row r="268" spans="5:5" s="25" customFormat="1" x14ac:dyDescent="0.25">
      <c r="E268" s="34"/>
    </row>
    <row r="269" spans="5:5" s="25" customFormat="1" x14ac:dyDescent="0.25">
      <c r="E269" s="34"/>
    </row>
    <row r="270" spans="5:5" s="25" customFormat="1" x14ac:dyDescent="0.25">
      <c r="E270" s="34"/>
    </row>
    <row r="271" spans="5:5" s="25" customFormat="1" x14ac:dyDescent="0.25">
      <c r="E271" s="34"/>
    </row>
    <row r="272" spans="5:5" s="25" customFormat="1" x14ac:dyDescent="0.25">
      <c r="E272" s="34"/>
    </row>
    <row r="273" spans="5:5" s="25" customFormat="1" x14ac:dyDescent="0.25">
      <c r="E273" s="34"/>
    </row>
    <row r="274" spans="5:5" s="25" customFormat="1" x14ac:dyDescent="0.25">
      <c r="E274" s="34"/>
    </row>
    <row r="275" spans="5:5" s="25" customFormat="1" x14ac:dyDescent="0.25">
      <c r="E275" s="34"/>
    </row>
    <row r="276" spans="5:5" s="25" customFormat="1" x14ac:dyDescent="0.25">
      <c r="E276" s="34"/>
    </row>
    <row r="277" spans="5:5" s="25" customFormat="1" x14ac:dyDescent="0.25">
      <c r="E277" s="34"/>
    </row>
    <row r="278" spans="5:5" s="25" customFormat="1" x14ac:dyDescent="0.25">
      <c r="E278" s="34"/>
    </row>
    <row r="279" spans="5:5" s="25" customFormat="1" x14ac:dyDescent="0.25">
      <c r="E279" s="34"/>
    </row>
  </sheetData>
  <mergeCells count="2">
    <mergeCell ref="A2:C2"/>
    <mergeCell ref="A15:C1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79"/>
  <sheetViews>
    <sheetView topLeftCell="B1" workbookViewId="0">
      <selection activeCell="N2" sqref="N2"/>
    </sheetView>
  </sheetViews>
  <sheetFormatPr defaultRowHeight="15" x14ac:dyDescent="0.25"/>
  <cols>
    <col min="1" max="1" width="11.7109375" customWidth="1"/>
    <col min="2" max="2" width="8.7109375" customWidth="1"/>
    <col min="3" max="3" width="8" customWidth="1"/>
    <col min="5" max="5" width="14.140625" style="6" customWidth="1"/>
    <col min="6" max="6" width="10.85546875" customWidth="1"/>
    <col min="7" max="7" width="9" customWidth="1"/>
    <col min="8" max="8" width="9.5703125" customWidth="1"/>
    <col min="9" max="9" width="7.85546875" customWidth="1"/>
    <col min="10" max="10" width="6.5703125" customWidth="1"/>
    <col min="11" max="11" width="1.42578125" style="11" customWidth="1"/>
    <col min="12" max="12" width="6.85546875" customWidth="1"/>
    <col min="13" max="13" width="7.28515625" customWidth="1"/>
    <col min="14" max="14" width="8.140625" customWidth="1"/>
    <col min="15" max="15" width="6.7109375" style="25" customWidth="1"/>
    <col min="16" max="16" width="2.42578125" style="25" customWidth="1"/>
    <col min="17" max="17" width="7.140625" style="25" customWidth="1"/>
    <col min="18" max="18" width="7.28515625" style="25" customWidth="1"/>
    <col min="19" max="19" width="7.7109375" customWidth="1"/>
    <col min="20" max="20" width="9.28515625" customWidth="1"/>
    <col min="21" max="21" width="1.85546875" customWidth="1"/>
    <col min="22" max="22" width="6.7109375" customWidth="1"/>
    <col min="23" max="23" width="7.140625" style="11" customWidth="1"/>
    <col min="24" max="24" width="8" customWidth="1"/>
    <col min="25" max="25" width="9.28515625" customWidth="1"/>
    <col min="26" max="26" width="1.7109375" customWidth="1"/>
    <col min="27" max="27" width="6.42578125" customWidth="1"/>
    <col min="28" max="28" width="9.28515625" style="11" customWidth="1"/>
    <col min="29" max="29" width="6.140625" customWidth="1"/>
    <col min="30" max="30" width="9.140625" customWidth="1"/>
    <col min="31" max="31" width="2" customWidth="1"/>
    <col min="32" max="32" width="7.42578125" customWidth="1"/>
    <col min="33" max="33" width="9.140625" style="11" customWidth="1"/>
    <col min="34" max="34" width="6.5703125" customWidth="1"/>
    <col min="35" max="35" width="9.7109375" customWidth="1"/>
    <col min="36" max="36" width="1.7109375" customWidth="1"/>
    <col min="37" max="37" width="7.85546875" customWidth="1"/>
    <col min="38" max="38" width="9" style="11" customWidth="1"/>
    <col min="39" max="39" width="7.140625" customWidth="1"/>
    <col min="40" max="40" width="9.7109375" customWidth="1"/>
    <col min="41" max="41" width="1.42578125" customWidth="1"/>
    <col min="42" max="42" width="7.85546875" customWidth="1"/>
    <col min="43" max="43" width="9.85546875" style="11" customWidth="1"/>
    <col min="44" max="45" width="8.5703125" customWidth="1"/>
    <col min="46" max="46" width="2.28515625" customWidth="1"/>
    <col min="47" max="47" width="9.140625" customWidth="1"/>
    <col min="48" max="48" width="8.28515625" customWidth="1"/>
    <col min="49" max="49" width="12.5703125" style="11" customWidth="1"/>
    <col min="50" max="50" width="9.28515625" customWidth="1"/>
    <col min="51" max="51" width="10.42578125" customWidth="1"/>
    <col min="52" max="52" width="10" customWidth="1"/>
    <col min="53" max="53" width="9.7109375" customWidth="1"/>
    <col min="54" max="54" width="10.140625" style="11" customWidth="1"/>
    <col min="55" max="55" width="10.5703125" customWidth="1"/>
    <col min="56" max="56" width="7.28515625" customWidth="1"/>
  </cols>
  <sheetData>
    <row r="1" spans="1:54" s="25" customFormat="1" ht="21" x14ac:dyDescent="0.35">
      <c r="A1" s="38" t="s">
        <v>0</v>
      </c>
      <c r="E1" s="34"/>
      <c r="K1" s="11"/>
    </row>
    <row r="2" spans="1:54" s="25" customFormat="1" x14ac:dyDescent="0.25">
      <c r="A2" s="108" t="s">
        <v>95</v>
      </c>
      <c r="B2" s="108"/>
      <c r="C2" s="108"/>
      <c r="D2" s="80"/>
      <c r="E2" s="34"/>
      <c r="K2" s="11"/>
      <c r="N2" s="25" t="s">
        <v>37</v>
      </c>
      <c r="O2" s="43">
        <v>6.5000000000000002E-2</v>
      </c>
      <c r="S2" s="1" t="s">
        <v>39</v>
      </c>
      <c r="T2" s="43">
        <v>0.11899999999999999</v>
      </c>
      <c r="X2" s="1" t="s">
        <v>40</v>
      </c>
      <c r="Y2" s="43">
        <v>0.224</v>
      </c>
      <c r="AC2" s="1" t="s">
        <v>41</v>
      </c>
      <c r="AD2" s="43">
        <v>0.16</v>
      </c>
      <c r="AH2" s="125" t="s">
        <v>42</v>
      </c>
      <c r="AI2" s="43">
        <v>0.17899999999999999</v>
      </c>
      <c r="AM2" s="125" t="s">
        <v>43</v>
      </c>
      <c r="AN2" s="43">
        <v>0.151</v>
      </c>
      <c r="AR2" s="34" t="s">
        <v>116</v>
      </c>
      <c r="AS2" s="43">
        <v>4.2999999999999997E-2</v>
      </c>
      <c r="AU2" s="25" t="e">
        <f>#REF!+O2+T2+Y2+AD2+AI2+AN2+AS2</f>
        <v>#REF!</v>
      </c>
    </row>
    <row r="3" spans="1:54" ht="45.75" customHeight="1" x14ac:dyDescent="0.4">
      <c r="A3" s="80" t="s">
        <v>2</v>
      </c>
      <c r="B3" s="3" t="s">
        <v>3</v>
      </c>
      <c r="C3" s="80" t="s">
        <v>4</v>
      </c>
      <c r="D3" s="9" t="s">
        <v>14</v>
      </c>
      <c r="E3" s="6" t="s">
        <v>9</v>
      </c>
      <c r="F3" s="44" t="s">
        <v>24</v>
      </c>
      <c r="G3" s="16" t="s">
        <v>49</v>
      </c>
      <c r="H3" s="6" t="s">
        <v>16</v>
      </c>
      <c r="I3" s="6" t="s">
        <v>15</v>
      </c>
      <c r="J3" s="8" t="s">
        <v>17</v>
      </c>
      <c r="L3" s="6" t="s">
        <v>22</v>
      </c>
      <c r="M3" s="14" t="s">
        <v>23</v>
      </c>
      <c r="N3" s="8" t="s">
        <v>25</v>
      </c>
      <c r="O3" s="36" t="s">
        <v>86</v>
      </c>
      <c r="P3" s="11"/>
      <c r="Q3" t="s">
        <v>28</v>
      </c>
      <c r="R3" s="14" t="s">
        <v>23</v>
      </c>
      <c r="S3" s="8" t="s">
        <v>25</v>
      </c>
      <c r="T3" s="36" t="s">
        <v>86</v>
      </c>
      <c r="U3" s="11"/>
      <c r="V3" t="s">
        <v>28</v>
      </c>
      <c r="W3" s="14" t="s">
        <v>23</v>
      </c>
      <c r="X3" s="8" t="s">
        <v>25</v>
      </c>
      <c r="Y3" s="36" t="s">
        <v>86</v>
      </c>
      <c r="Z3" s="11"/>
      <c r="AA3" s="1" t="s">
        <v>28</v>
      </c>
      <c r="AB3" s="15" t="s">
        <v>29</v>
      </c>
      <c r="AC3" s="16" t="s">
        <v>25</v>
      </c>
      <c r="AD3" s="36" t="s">
        <v>86</v>
      </c>
      <c r="AE3" s="11"/>
      <c r="AF3" s="1" t="s">
        <v>28</v>
      </c>
      <c r="AG3" s="15" t="s">
        <v>29</v>
      </c>
      <c r="AH3" s="16" t="s">
        <v>25</v>
      </c>
      <c r="AI3" s="36" t="s">
        <v>86</v>
      </c>
      <c r="AJ3" s="11"/>
      <c r="AK3" s="1" t="s">
        <v>28</v>
      </c>
      <c r="AL3" s="15" t="s">
        <v>29</v>
      </c>
      <c r="AM3" s="16" t="s">
        <v>25</v>
      </c>
      <c r="AN3" s="36" t="s">
        <v>86</v>
      </c>
      <c r="AO3" s="11"/>
      <c r="AP3" s="1" t="s">
        <v>28</v>
      </c>
      <c r="AQ3" s="15" t="s">
        <v>29</v>
      </c>
      <c r="AR3" s="16" t="s">
        <v>25</v>
      </c>
      <c r="AS3" s="36" t="s">
        <v>86</v>
      </c>
      <c r="AT3" s="11"/>
      <c r="AU3" t="s">
        <v>99</v>
      </c>
      <c r="AW3" t="s">
        <v>87</v>
      </c>
      <c r="BB3"/>
    </row>
    <row r="4" spans="1:54" x14ac:dyDescent="0.25">
      <c r="A4" s="4">
        <v>1</v>
      </c>
      <c r="B4" s="5">
        <v>10</v>
      </c>
      <c r="C4" s="4"/>
      <c r="D4" s="27">
        <f>(B4*B5)^0.5</f>
        <v>11.220071301021219</v>
      </c>
      <c r="E4" s="6" t="s">
        <v>8</v>
      </c>
      <c r="F4" s="45">
        <f>0.065*1600*9.8*B4/1000000</f>
        <v>1.0192E-2</v>
      </c>
      <c r="G4" s="18">
        <v>4.5999999999999999E-2</v>
      </c>
      <c r="H4" s="10">
        <f t="shared" ref="H4:H11" si="0">1600*9.8*(D4/1000000)^2/(18*0.0014)</f>
        <v>7.8331555555555585E-5</v>
      </c>
      <c r="I4" s="7">
        <f>100*H4</f>
        <v>7.8331555555555578E-3</v>
      </c>
      <c r="J4" s="61">
        <v>1</v>
      </c>
      <c r="L4">
        <v>0.2</v>
      </c>
      <c r="M4" s="7">
        <f>1050*(L4/27)^2</f>
        <v>5.7613168724279844E-2</v>
      </c>
      <c r="N4">
        <f t="shared" ref="N4:N11" si="1">J4*H4*(1-M4/F4)</f>
        <v>-3.6445976377897385E-4</v>
      </c>
      <c r="O4">
        <v>0</v>
      </c>
      <c r="P4" s="11"/>
      <c r="Q4">
        <v>0.15</v>
      </c>
      <c r="R4" s="7">
        <f>1050*(Q4/27)^2</f>
        <v>3.2407407407407406E-2</v>
      </c>
      <c r="S4">
        <f t="shared" ref="S4:S11" si="2">J4*H4*(1-R4/F4)</f>
        <v>-1.7073856157011718E-4</v>
      </c>
      <c r="T4">
        <v>0</v>
      </c>
      <c r="U4" s="11"/>
      <c r="V4">
        <v>0.1</v>
      </c>
      <c r="W4" s="7">
        <f>1050*(V4/27)^2</f>
        <v>1.4403292181069961E-2</v>
      </c>
      <c r="X4">
        <f t="shared" ref="X4:X11" si="3">J4*H4*(1-W4/F4)</f>
        <v>-3.2366274278076774E-5</v>
      </c>
      <c r="Y4">
        <v>0</v>
      </c>
      <c r="Z4" s="11"/>
      <c r="AA4">
        <v>7.4999999999999997E-2</v>
      </c>
      <c r="AB4" s="7">
        <f>1050*(AA4/27)^2</f>
        <v>8.1018518518518514E-3</v>
      </c>
      <c r="AC4">
        <f t="shared" ref="AC4:AC11" si="4">J4*H4*(1-AB4/F4)</f>
        <v>1.6064026274137394E-5</v>
      </c>
      <c r="AD4">
        <f t="shared" ref="AD4:AD11" si="5">AC4*$AD$2</f>
        <v>2.570244203861983E-6</v>
      </c>
      <c r="AE4" s="11"/>
      <c r="AF4">
        <v>0.05</v>
      </c>
      <c r="AG4" s="7">
        <f>1050*(AF4/27)^2</f>
        <v>3.6008230452674902E-3</v>
      </c>
      <c r="AH4">
        <f t="shared" ref="AH4:AH11" si="6">J4*H4*(1-AG4/F4)</f>
        <v>5.0657098097147497E-5</v>
      </c>
      <c r="AI4">
        <f t="shared" ref="AI4:AI11" si="7">AH4*$AI$2</f>
        <v>9.0676205593894022E-6</v>
      </c>
      <c r="AJ4" s="11"/>
      <c r="AK4">
        <v>2.5000000000000001E-2</v>
      </c>
      <c r="AL4" s="7">
        <f>1050*(AK4/27)^2</f>
        <v>9.0020576131687256E-4</v>
      </c>
      <c r="AM4">
        <f t="shared" ref="AM4:AM11" si="8">J4*H4*(1-AL4/F4)</f>
        <v>7.141294119095357E-5</v>
      </c>
      <c r="AN4">
        <f t="shared" ref="AN4:AN11" si="9">AM4*$AN$2</f>
        <v>1.078335411983399E-5</v>
      </c>
      <c r="AO4" s="11"/>
      <c r="AP4">
        <v>1E-3</v>
      </c>
      <c r="AQ4" s="7">
        <f>1050*(AP4/27)^2</f>
        <v>1.440329218106996E-6</v>
      </c>
      <c r="AR4" s="10">
        <f t="shared" ref="AR4:AR11" si="10">0.1*H4*(1-AQ4/F4)</f>
        <v>7.8320485772572228E-6</v>
      </c>
      <c r="AS4" s="10">
        <f t="shared" ref="AS4:AS11" si="11">AR4*$AS$2</f>
        <v>3.3677808882206054E-7</v>
      </c>
      <c r="AT4" s="11"/>
      <c r="AU4">
        <f>(O4+T4+Y4+AD4+AI4+AN4+AS4)*AW4</f>
        <v>2.5534472602480144E-4</v>
      </c>
      <c r="AW4" s="47">
        <v>11.22</v>
      </c>
      <c r="BB4"/>
    </row>
    <row r="5" spans="1:54" x14ac:dyDescent="0.25">
      <c r="A5" s="4">
        <v>1.1000000000000001</v>
      </c>
      <c r="B5" s="5">
        <v>12.589</v>
      </c>
      <c r="C5" s="5">
        <v>2.589</v>
      </c>
      <c r="D5" s="27">
        <f t="shared" ref="D5:D11" si="12">(B5*B6)^0.5</f>
        <v>14.125263218786403</v>
      </c>
      <c r="E5" s="6" t="s">
        <v>5</v>
      </c>
      <c r="F5" s="45">
        <f t="shared" ref="F5:F11" si="13">0.065*1600*9.8*B5/1000000</f>
        <v>1.28307088E-2</v>
      </c>
      <c r="G5" s="18">
        <v>5.1999999999999998E-2</v>
      </c>
      <c r="H5" s="10">
        <f t="shared" si="0"/>
        <v>1.2414768240000002E-4</v>
      </c>
      <c r="I5" s="7">
        <f t="shared" ref="I5:I11" si="14">100*H5</f>
        <v>1.2414768240000002E-2</v>
      </c>
      <c r="J5" s="43">
        <v>0.56200000000000006</v>
      </c>
      <c r="L5">
        <v>0.2</v>
      </c>
      <c r="M5" s="7">
        <f t="shared" ref="M5:M11" si="15">1050*(L5/27)^2</f>
        <v>5.7613168724279844E-2</v>
      </c>
      <c r="N5">
        <f t="shared" si="1"/>
        <v>-2.4351865111418207E-4</v>
      </c>
      <c r="O5">
        <v>0</v>
      </c>
      <c r="P5" s="11"/>
      <c r="Q5">
        <v>0.15</v>
      </c>
      <c r="R5" s="7">
        <f t="shared" ref="R5:R11" si="16">1050*(Q5/27)^2</f>
        <v>3.2407407407407406E-2</v>
      </c>
      <c r="S5">
        <f t="shared" si="2"/>
        <v>-1.0645442984162739E-4</v>
      </c>
      <c r="T5">
        <v>0</v>
      </c>
      <c r="U5" s="11"/>
      <c r="V5">
        <v>0.1</v>
      </c>
      <c r="W5" s="7">
        <f t="shared" ref="W5:W11" si="17">1050*(V5/27)^2</f>
        <v>1.4403292181069961E-2</v>
      </c>
      <c r="X5">
        <f t="shared" si="3"/>
        <v>-8.5514146469455005E-6</v>
      </c>
      <c r="Y5">
        <v>0</v>
      </c>
      <c r="Z5" s="11"/>
      <c r="AA5">
        <v>7.4999999999999997E-2</v>
      </c>
      <c r="AB5" s="7">
        <f t="shared" ref="AB5:AB11" si="18">1050*(AA5/27)^2</f>
        <v>8.1018518518518514E-3</v>
      </c>
      <c r="AC5">
        <f t="shared" si="4"/>
        <v>2.5714640671193172E-5</v>
      </c>
      <c r="AD5">
        <f t="shared" si="5"/>
        <v>4.1143425073909073E-6</v>
      </c>
      <c r="AE5" s="11"/>
      <c r="AF5">
        <v>0.05</v>
      </c>
      <c r="AG5" s="7">
        <f t="shared" ref="AG5:AG11" si="19">1050*(AF5/27)^2</f>
        <v>3.6008230452674902E-3</v>
      </c>
      <c r="AH5">
        <f t="shared" si="6"/>
        <v>5.0190394469863647E-5</v>
      </c>
      <c r="AI5">
        <f t="shared" si="7"/>
        <v>8.9840806101055918E-6</v>
      </c>
      <c r="AJ5" s="11"/>
      <c r="AK5">
        <v>2.5000000000000001E-2</v>
      </c>
      <c r="AL5" s="7">
        <f t="shared" ref="AL5:AL11" si="20">1050*(AK5/27)^2</f>
        <v>9.0020576131687256E-4</v>
      </c>
      <c r="AM5">
        <f t="shared" si="8"/>
        <v>6.4875846749065929E-5</v>
      </c>
      <c r="AN5">
        <f t="shared" si="9"/>
        <v>9.7962528591089554E-6</v>
      </c>
      <c r="AO5" s="11"/>
      <c r="AP5">
        <v>1E-3</v>
      </c>
      <c r="AQ5" s="7">
        <f t="shared" ref="AQ5:AQ11" si="21">1050*(AP5/27)^2</f>
        <v>1.440329218106996E-6</v>
      </c>
      <c r="AR5" s="10">
        <f t="shared" si="10"/>
        <v>1.2413374602773032E-5</v>
      </c>
      <c r="AS5" s="10">
        <f t="shared" si="11"/>
        <v>5.3377510791924038E-7</v>
      </c>
      <c r="AT5" s="11"/>
      <c r="AU5">
        <f t="shared" ref="AU5:AU11" si="22">(O5+T5+Y5+AD5+AI5+AN5+AS5)*AW5</f>
        <v>3.3104401382433399E-4</v>
      </c>
      <c r="AW5" s="47">
        <v>14.13</v>
      </c>
      <c r="BB5"/>
    </row>
    <row r="6" spans="1:54" x14ac:dyDescent="0.25">
      <c r="A6" s="4">
        <v>1.2</v>
      </c>
      <c r="B6" s="5">
        <v>15.849</v>
      </c>
      <c r="C6" s="5">
        <v>3.26</v>
      </c>
      <c r="D6" s="27">
        <f t="shared" si="12"/>
        <v>17.783000224933925</v>
      </c>
      <c r="E6" s="6" t="s">
        <v>6</v>
      </c>
      <c r="F6" s="45">
        <f t="shared" si="13"/>
        <v>1.6153300799999999E-2</v>
      </c>
      <c r="G6" s="18">
        <v>5.8999999999999997E-2</v>
      </c>
      <c r="H6" s="10">
        <f t="shared" si="0"/>
        <v>1.9676850480000003E-4</v>
      </c>
      <c r="I6" s="7">
        <f t="shared" si="14"/>
        <v>1.9676850480000004E-2</v>
      </c>
      <c r="J6" s="43">
        <v>0.316</v>
      </c>
      <c r="L6">
        <v>0.2</v>
      </c>
      <c r="M6" s="7">
        <f t="shared" si="15"/>
        <v>5.7613168724279844E-2</v>
      </c>
      <c r="N6">
        <f t="shared" si="1"/>
        <v>-1.5959133292004719E-4</v>
      </c>
      <c r="O6">
        <v>0</v>
      </c>
      <c r="P6" s="11"/>
      <c r="Q6">
        <v>0.15</v>
      </c>
      <c r="R6" s="7">
        <f t="shared" si="16"/>
        <v>3.2407407407407406E-2</v>
      </c>
      <c r="S6">
        <f t="shared" si="2"/>
        <v>-6.2566878978926506E-5</v>
      </c>
      <c r="T6">
        <v>0</v>
      </c>
      <c r="U6" s="11"/>
      <c r="V6">
        <v>0.1</v>
      </c>
      <c r="W6" s="7">
        <f t="shared" si="17"/>
        <v>1.4403292181069961E-2</v>
      </c>
      <c r="X6">
        <f t="shared" si="3"/>
        <v>6.7363024075882154E-6</v>
      </c>
      <c r="Y6">
        <f t="shared" ref="Y6:Y11" si="23">X6*$Y$2</f>
        <v>1.5089317392997602E-6</v>
      </c>
      <c r="Z6" s="11"/>
      <c r="AA6">
        <v>7.4999999999999997E-2</v>
      </c>
      <c r="AB6" s="7">
        <f t="shared" si="18"/>
        <v>8.1018518518518514E-3</v>
      </c>
      <c r="AC6">
        <f t="shared" si="4"/>
        <v>3.0992415892868386E-5</v>
      </c>
      <c r="AD6">
        <f t="shared" si="5"/>
        <v>4.9587865428589418E-6</v>
      </c>
      <c r="AE6" s="11"/>
      <c r="AF6">
        <v>0.05</v>
      </c>
      <c r="AG6" s="7">
        <f t="shared" si="19"/>
        <v>3.6008230452674902E-3</v>
      </c>
      <c r="AH6">
        <f t="shared" si="6"/>
        <v>4.8318211239497066E-5</v>
      </c>
      <c r="AI6">
        <f t="shared" si="7"/>
        <v>8.6489598118699745E-6</v>
      </c>
      <c r="AJ6" s="11"/>
      <c r="AK6">
        <v>2.5000000000000001E-2</v>
      </c>
      <c r="AL6" s="7">
        <f t="shared" si="20"/>
        <v>9.0020576131687256E-4</v>
      </c>
      <c r="AM6">
        <f t="shared" si="8"/>
        <v>5.8713688447474272E-5</v>
      </c>
      <c r="AN6">
        <f t="shared" si="9"/>
        <v>8.8657669555686145E-6</v>
      </c>
      <c r="AO6" s="11"/>
      <c r="AP6">
        <v>1E-3</v>
      </c>
      <c r="AQ6" s="7">
        <f t="shared" si="21"/>
        <v>1.440329218106996E-6</v>
      </c>
      <c r="AR6" s="10">
        <f t="shared" si="10"/>
        <v>1.9675095969078825E-5</v>
      </c>
      <c r="AS6" s="10">
        <f t="shared" si="11"/>
        <v>8.4602912667038943E-7</v>
      </c>
      <c r="AT6" s="11"/>
      <c r="AU6">
        <f t="shared" si="22"/>
        <v>4.4145027085403942E-4</v>
      </c>
      <c r="AW6" s="47">
        <v>17.78</v>
      </c>
      <c r="BB6"/>
    </row>
    <row r="7" spans="1:54" x14ac:dyDescent="0.25">
      <c r="A7" s="4">
        <v>1.3</v>
      </c>
      <c r="B7" s="5">
        <v>19.952999999999999</v>
      </c>
      <c r="C7" s="5">
        <v>4.1040000000000001</v>
      </c>
      <c r="D7" s="27">
        <f t="shared" si="12"/>
        <v>22.387483266325404</v>
      </c>
      <c r="E7" s="6" t="s">
        <v>7</v>
      </c>
      <c r="F7" s="45">
        <f t="shared" si="13"/>
        <v>2.0336097600000002E-2</v>
      </c>
      <c r="G7" s="18">
        <v>6.6000000000000003E-2</v>
      </c>
      <c r="H7" s="10">
        <f t="shared" si="0"/>
        <v>3.118574088E-4</v>
      </c>
      <c r="I7" s="7">
        <f t="shared" si="14"/>
        <v>3.118574088E-2</v>
      </c>
      <c r="J7" s="43">
        <v>0.17799999999999999</v>
      </c>
      <c r="L7">
        <v>0.2</v>
      </c>
      <c r="M7" s="7">
        <f t="shared" si="15"/>
        <v>5.7613168724279844E-2</v>
      </c>
      <c r="N7">
        <f t="shared" si="1"/>
        <v>-1.0175370538681305E-4</v>
      </c>
      <c r="O7">
        <v>0</v>
      </c>
      <c r="P7" s="11"/>
      <c r="Q7">
        <v>0.15</v>
      </c>
      <c r="R7" s="7">
        <f t="shared" si="16"/>
        <v>3.2407407407407406E-2</v>
      </c>
      <c r="S7">
        <f t="shared" si="2"/>
        <v>-3.2950563569782321E-5</v>
      </c>
      <c r="T7">
        <v>0</v>
      </c>
      <c r="U7" s="11"/>
      <c r="V7">
        <v>0.1</v>
      </c>
      <c r="W7" s="7">
        <f t="shared" si="17"/>
        <v>1.4403292181069961E-2</v>
      </c>
      <c r="X7">
        <f t="shared" si="3"/>
        <v>1.6194537728096738E-5</v>
      </c>
      <c r="Y7">
        <f t="shared" si="23"/>
        <v>3.6275764510936696E-6</v>
      </c>
      <c r="Z7" s="11"/>
      <c r="AA7">
        <v>7.4999999999999997E-2</v>
      </c>
      <c r="AB7" s="7">
        <f t="shared" si="18"/>
        <v>8.1018518518518514E-3</v>
      </c>
      <c r="AC7">
        <f t="shared" si="4"/>
        <v>3.3395323182354415E-5</v>
      </c>
      <c r="AD7">
        <f t="shared" si="5"/>
        <v>5.3432517091767065E-6</v>
      </c>
      <c r="AE7" s="11"/>
      <c r="AF7">
        <v>0.05</v>
      </c>
      <c r="AG7" s="7">
        <f t="shared" si="19"/>
        <v>3.6008230452674902E-3</v>
      </c>
      <c r="AH7">
        <f t="shared" si="6"/>
        <v>4.5681598506824184E-5</v>
      </c>
      <c r="AI7">
        <f t="shared" si="7"/>
        <v>8.1770061327215294E-6</v>
      </c>
      <c r="AJ7" s="11"/>
      <c r="AK7">
        <v>2.5000000000000001E-2</v>
      </c>
      <c r="AL7" s="7">
        <f t="shared" si="20"/>
        <v>9.0020576131687256E-4</v>
      </c>
      <c r="AM7">
        <f t="shared" si="8"/>
        <v>5.3053363701506041E-5</v>
      </c>
      <c r="AN7">
        <f t="shared" si="9"/>
        <v>8.0110579189274124E-6</v>
      </c>
      <c r="AO7" s="11"/>
      <c r="AP7">
        <v>1E-3</v>
      </c>
      <c r="AQ7" s="7">
        <f t="shared" si="21"/>
        <v>1.440329218106996E-6</v>
      </c>
      <c r="AR7" s="10">
        <f t="shared" si="10"/>
        <v>3.1183532111402347E-5</v>
      </c>
      <c r="AS7" s="10">
        <f t="shared" si="11"/>
        <v>1.3408918807903007E-6</v>
      </c>
      <c r="AT7" s="11"/>
      <c r="AU7">
        <f t="shared" si="22"/>
        <v>5.933301658357685E-4</v>
      </c>
      <c r="AW7" s="47">
        <v>22.39</v>
      </c>
      <c r="BB7"/>
    </row>
    <row r="8" spans="1:54" x14ac:dyDescent="0.25">
      <c r="A8" s="4">
        <v>1.4</v>
      </c>
      <c r="B8" s="5">
        <v>25.119</v>
      </c>
      <c r="C8" s="5">
        <v>5.1660000000000004</v>
      </c>
      <c r="D8" s="27">
        <f t="shared" si="12"/>
        <v>28.184004985097488</v>
      </c>
      <c r="E8" s="6" t="s">
        <v>10</v>
      </c>
      <c r="F8" s="45">
        <f t="shared" si="13"/>
        <v>2.5601284800000002E-2</v>
      </c>
      <c r="G8" s="18">
        <v>7.4999999999999997E-2</v>
      </c>
      <c r="H8" s="10">
        <f t="shared" si="0"/>
        <v>4.9425484080000011E-4</v>
      </c>
      <c r="I8" s="7">
        <f t="shared" si="14"/>
        <v>4.9425484080000012E-2</v>
      </c>
      <c r="J8" s="43">
        <v>0.1</v>
      </c>
      <c r="L8">
        <v>0.2</v>
      </c>
      <c r="M8" s="7">
        <f t="shared" si="15"/>
        <v>5.7613168724279844E-2</v>
      </c>
      <c r="N8">
        <f t="shared" si="1"/>
        <v>-6.1801697517551978E-5</v>
      </c>
      <c r="O8">
        <v>0</v>
      </c>
      <c r="P8" s="11"/>
      <c r="Q8">
        <v>0.15</v>
      </c>
      <c r="R8" s="7">
        <f t="shared" si="16"/>
        <v>3.2407407407407406E-2</v>
      </c>
      <c r="S8">
        <f t="shared" si="2"/>
        <v>-1.3139805568622975E-5</v>
      </c>
      <c r="T8">
        <v>0</v>
      </c>
      <c r="U8" s="11"/>
      <c r="V8">
        <v>0.1</v>
      </c>
      <c r="W8" s="7">
        <f t="shared" si="17"/>
        <v>1.4403292181069961E-2</v>
      </c>
      <c r="X8">
        <f t="shared" si="3"/>
        <v>2.1618688680612014E-5</v>
      </c>
      <c r="Y8">
        <f t="shared" si="23"/>
        <v>4.8425862644570913E-6</v>
      </c>
      <c r="Z8" s="11"/>
      <c r="AA8">
        <v>7.4999999999999997E-2</v>
      </c>
      <c r="AB8" s="7">
        <f t="shared" si="18"/>
        <v>8.1018518518518514E-3</v>
      </c>
      <c r="AC8">
        <f t="shared" si="4"/>
        <v>3.3784161667844267E-5</v>
      </c>
      <c r="AD8">
        <f t="shared" si="5"/>
        <v>5.405465866855083E-6</v>
      </c>
      <c r="AE8" s="11"/>
      <c r="AF8">
        <v>0.05</v>
      </c>
      <c r="AG8" s="7">
        <f t="shared" si="19"/>
        <v>3.6008230452674902E-3</v>
      </c>
      <c r="AH8">
        <f t="shared" si="6"/>
        <v>4.2473785230153013E-5</v>
      </c>
      <c r="AI8">
        <f t="shared" si="7"/>
        <v>7.6028075561973893E-6</v>
      </c>
      <c r="AJ8" s="11"/>
      <c r="AK8">
        <v>2.5000000000000001E-2</v>
      </c>
      <c r="AL8" s="7">
        <f t="shared" si="20"/>
        <v>9.0020576131687256E-4</v>
      </c>
      <c r="AM8">
        <f t="shared" si="8"/>
        <v>4.7687559367538263E-5</v>
      </c>
      <c r="AN8">
        <f t="shared" si="9"/>
        <v>7.2008214644982778E-6</v>
      </c>
      <c r="AO8" s="11"/>
      <c r="AP8">
        <v>1E-3</v>
      </c>
      <c r="AQ8" s="7">
        <f t="shared" si="21"/>
        <v>1.440329218106996E-6</v>
      </c>
      <c r="AR8" s="10">
        <f t="shared" si="10"/>
        <v>4.9422703400460073E-5</v>
      </c>
      <c r="AS8" s="10">
        <f t="shared" si="11"/>
        <v>2.125176246219783E-6</v>
      </c>
      <c r="AT8" s="11"/>
      <c r="AU8">
        <f t="shared" si="22"/>
        <v>7.6584384148205439E-4</v>
      </c>
      <c r="AW8" s="47">
        <v>28.18</v>
      </c>
      <c r="BB8"/>
    </row>
    <row r="9" spans="1:54" x14ac:dyDescent="0.25">
      <c r="A9" s="4">
        <v>1.5</v>
      </c>
      <c r="B9" s="5">
        <v>31.623000000000001</v>
      </c>
      <c r="C9" s="5">
        <v>6.5039999999999996</v>
      </c>
      <c r="D9" s="27">
        <f t="shared" si="12"/>
        <v>35.481590339216758</v>
      </c>
      <c r="E9" s="6" t="s">
        <v>11</v>
      </c>
      <c r="F9" s="45">
        <f t="shared" si="13"/>
        <v>3.2230161600000001E-2</v>
      </c>
      <c r="G9" s="18">
        <v>8.5000000000000006E-2</v>
      </c>
      <c r="H9" s="10">
        <f t="shared" si="0"/>
        <v>7.8334246853333357E-4</v>
      </c>
      <c r="I9" s="7">
        <f t="shared" si="14"/>
        <v>7.8334246853333359E-2</v>
      </c>
      <c r="J9" s="43">
        <v>5.6000000000000001E-2</v>
      </c>
      <c r="L9">
        <v>0.2</v>
      </c>
      <c r="M9" s="7">
        <f t="shared" si="15"/>
        <v>5.7613168724279844E-2</v>
      </c>
      <c r="N9">
        <f t="shared" si="1"/>
        <v>-3.4547791337596755E-5</v>
      </c>
      <c r="O9">
        <v>0</v>
      </c>
      <c r="P9" s="11"/>
      <c r="Q9">
        <v>0.15</v>
      </c>
      <c r="R9" s="7">
        <f t="shared" si="16"/>
        <v>3.2407407407407406E-2</v>
      </c>
      <c r="S9">
        <f t="shared" si="2"/>
        <v>-2.4124214833149478E-7</v>
      </c>
      <c r="T9">
        <v>0</v>
      </c>
      <c r="U9" s="11"/>
      <c r="V9">
        <v>0.1</v>
      </c>
      <c r="W9" s="7">
        <f t="shared" si="17"/>
        <v>1.4403292181069961E-2</v>
      </c>
      <c r="X9">
        <f t="shared" si="3"/>
        <v>2.4263435844000818E-5</v>
      </c>
      <c r="Y9">
        <f t="shared" si="23"/>
        <v>5.4350096290561834E-6</v>
      </c>
      <c r="Z9" s="11"/>
      <c r="AA9">
        <v>7.4999999999999997E-2</v>
      </c>
      <c r="AB9" s="7">
        <f t="shared" si="18"/>
        <v>8.1018518518518514E-3</v>
      </c>
      <c r="AC9">
        <f t="shared" si="4"/>
        <v>3.2840073141317138E-5</v>
      </c>
      <c r="AD9">
        <f t="shared" si="5"/>
        <v>5.2544117026107424E-6</v>
      </c>
      <c r="AE9" s="11"/>
      <c r="AF9">
        <v>0.05</v>
      </c>
      <c r="AG9" s="7">
        <f t="shared" si="19"/>
        <v>3.6008230452674902E-3</v>
      </c>
      <c r="AH9">
        <f t="shared" si="6"/>
        <v>3.8966242639400216E-5</v>
      </c>
      <c r="AI9">
        <f t="shared" si="7"/>
        <v>6.9749574324526382E-6</v>
      </c>
      <c r="AJ9" s="11"/>
      <c r="AK9">
        <v>2.5000000000000001E-2</v>
      </c>
      <c r="AL9" s="7">
        <f t="shared" si="20"/>
        <v>9.0020576131687256E-4</v>
      </c>
      <c r="AM9">
        <f t="shared" si="8"/>
        <v>4.2641944338250061E-5</v>
      </c>
      <c r="AN9">
        <f t="shared" si="9"/>
        <v>6.4389335950757589E-6</v>
      </c>
      <c r="AO9" s="11"/>
      <c r="AP9">
        <v>1E-3</v>
      </c>
      <c r="AQ9" s="7">
        <f t="shared" si="21"/>
        <v>1.440329218106996E-6</v>
      </c>
      <c r="AR9" s="10">
        <f t="shared" si="10"/>
        <v>7.8330746185048745E-5</v>
      </c>
      <c r="AS9" s="10">
        <f t="shared" si="11"/>
        <v>3.3682220859570957E-6</v>
      </c>
      <c r="AT9" s="11"/>
      <c r="AU9">
        <f t="shared" si="22"/>
        <v>9.7469004211400776E-4</v>
      </c>
      <c r="AW9" s="47">
        <v>35.479999999999997</v>
      </c>
      <c r="BB9"/>
    </row>
    <row r="10" spans="1:54" x14ac:dyDescent="0.25">
      <c r="A10" s="4">
        <v>1.6</v>
      </c>
      <c r="B10" s="5">
        <v>39.811</v>
      </c>
      <c r="C10" s="5">
        <v>8.1880000000000006</v>
      </c>
      <c r="D10" s="27">
        <f t="shared" si="12"/>
        <v>44.668641226256256</v>
      </c>
      <c r="E10" s="6" t="s">
        <v>12</v>
      </c>
      <c r="F10" s="45">
        <f t="shared" si="13"/>
        <v>4.0575371200000002E-2</v>
      </c>
      <c r="G10" s="18">
        <v>9.7000000000000003E-2</v>
      </c>
      <c r="H10" s="10">
        <f t="shared" si="0"/>
        <v>1.2415122278222224E-3</v>
      </c>
      <c r="I10" s="7">
        <f t="shared" si="14"/>
        <v>0.12415122278222224</v>
      </c>
      <c r="J10" s="43">
        <v>3.2000000000000001E-2</v>
      </c>
      <c r="L10">
        <v>0.2</v>
      </c>
      <c r="M10" s="7">
        <f t="shared" si="15"/>
        <v>5.7613168724279844E-2</v>
      </c>
      <c r="N10">
        <f t="shared" si="1"/>
        <v>-1.6682146502942739E-5</v>
      </c>
      <c r="O10">
        <v>0</v>
      </c>
      <c r="P10" s="11"/>
      <c r="Q10">
        <v>0.15</v>
      </c>
      <c r="R10" s="7">
        <f t="shared" si="16"/>
        <v>3.2407407407407406E-2</v>
      </c>
      <c r="S10">
        <f t="shared" si="2"/>
        <v>7.9974637816058283E-6</v>
      </c>
      <c r="T10" s="10">
        <f>S10*$T$2</f>
        <v>9.5169819001109352E-7</v>
      </c>
      <c r="U10" s="11"/>
      <c r="V10">
        <v>0.1</v>
      </c>
      <c r="W10" s="7">
        <f t="shared" si="17"/>
        <v>1.4403292181069961E-2</v>
      </c>
      <c r="X10">
        <f t="shared" si="3"/>
        <v>2.5625756841997649E-5</v>
      </c>
      <c r="Y10">
        <f t="shared" si="23"/>
        <v>5.7401695326074731E-6</v>
      </c>
      <c r="Z10" s="11"/>
      <c r="AA10">
        <v>7.4999999999999997E-2</v>
      </c>
      <c r="AB10" s="7">
        <f t="shared" si="18"/>
        <v>8.1018518518518514E-3</v>
      </c>
      <c r="AC10">
        <f t="shared" si="4"/>
        <v>3.1795659413134796E-5</v>
      </c>
      <c r="AD10">
        <f t="shared" si="5"/>
        <v>5.0873055061015676E-6</v>
      </c>
      <c r="AE10" s="11"/>
      <c r="AF10">
        <v>0.05</v>
      </c>
      <c r="AG10" s="7">
        <f t="shared" si="19"/>
        <v>3.6008230452674902E-3</v>
      </c>
      <c r="AH10">
        <f t="shared" si="6"/>
        <v>3.6202732678232751E-5</v>
      </c>
      <c r="AI10">
        <f t="shared" si="7"/>
        <v>6.480289149403662E-6</v>
      </c>
      <c r="AJ10" s="11"/>
      <c r="AK10">
        <v>2.5000000000000001E-2</v>
      </c>
      <c r="AL10" s="7">
        <f t="shared" si="20"/>
        <v>9.0020576131687256E-4</v>
      </c>
      <c r="AM10">
        <f t="shared" si="8"/>
        <v>3.8846976637291527E-5</v>
      </c>
      <c r="AN10">
        <f t="shared" si="9"/>
        <v>5.8658934722310207E-6</v>
      </c>
      <c r="AO10" s="11"/>
      <c r="AP10">
        <v>1E-3</v>
      </c>
      <c r="AQ10" s="7">
        <f t="shared" si="21"/>
        <v>1.440329218106996E-6</v>
      </c>
      <c r="AR10" s="10">
        <f t="shared" si="10"/>
        <v>1.2414681570895714E-4</v>
      </c>
      <c r="AS10" s="10">
        <f t="shared" si="11"/>
        <v>5.3383130754851562E-6</v>
      </c>
      <c r="AT10" s="11"/>
      <c r="AU10">
        <f t="shared" si="22"/>
        <v>1.3161420909172715E-3</v>
      </c>
      <c r="AW10" s="47">
        <v>44.67</v>
      </c>
      <c r="BB10"/>
    </row>
    <row r="11" spans="1:54" x14ac:dyDescent="0.25">
      <c r="A11" s="4">
        <v>1.7</v>
      </c>
      <c r="B11" s="5">
        <v>50.119</v>
      </c>
      <c r="C11" s="5">
        <v>10.308</v>
      </c>
      <c r="D11" s="27">
        <f t="shared" si="12"/>
        <v>56.234406051811376</v>
      </c>
      <c r="E11" s="6" t="s">
        <v>13</v>
      </c>
      <c r="F11" s="45">
        <f t="shared" si="13"/>
        <v>5.1081284800000001E-2</v>
      </c>
      <c r="G11" s="18">
        <v>0.11</v>
      </c>
      <c r="H11" s="10">
        <f t="shared" si="0"/>
        <v>1.9676585749333333E-3</v>
      </c>
      <c r="I11" s="7">
        <f t="shared" si="14"/>
        <v>0.19676585749333333</v>
      </c>
      <c r="J11" s="43">
        <v>1.7999999999999999E-2</v>
      </c>
      <c r="L11">
        <v>0.2</v>
      </c>
      <c r="M11" s="7">
        <f t="shared" si="15"/>
        <v>5.7613168724279844E-2</v>
      </c>
      <c r="N11">
        <f t="shared" si="1"/>
        <v>-4.5289642646852871E-6</v>
      </c>
      <c r="O11">
        <v>0</v>
      </c>
      <c r="P11" s="11"/>
      <c r="Q11">
        <v>0.15</v>
      </c>
      <c r="R11" s="7">
        <f t="shared" si="16"/>
        <v>3.2407407407407406E-2</v>
      </c>
      <c r="S11">
        <f t="shared" si="2"/>
        <v>1.2947768878714531E-5</v>
      </c>
      <c r="T11" s="10">
        <f>S11*$T$2</f>
        <v>1.5407844965670293E-6</v>
      </c>
      <c r="U11" s="11"/>
      <c r="V11">
        <v>0.1</v>
      </c>
      <c r="W11" s="7">
        <f t="shared" si="17"/>
        <v>1.4403292181069961E-2</v>
      </c>
      <c r="X11">
        <f t="shared" si="3"/>
        <v>2.5431149695428671E-5</v>
      </c>
      <c r="Y11">
        <f t="shared" si="23"/>
        <v>5.6965775317760225E-6</v>
      </c>
      <c r="Z11" s="11"/>
      <c r="AA11">
        <v>7.4999999999999997E-2</v>
      </c>
      <c r="AB11" s="7">
        <f t="shared" si="18"/>
        <v>8.1018518518518514E-3</v>
      </c>
      <c r="AC11">
        <f t="shared" si="4"/>
        <v>2.9800332981278627E-5</v>
      </c>
      <c r="AD11">
        <f t="shared" si="5"/>
        <v>4.7680532770045807E-6</v>
      </c>
      <c r="AE11" s="11"/>
      <c r="AF11">
        <v>0.05</v>
      </c>
      <c r="AG11" s="7">
        <f t="shared" si="19"/>
        <v>3.6008230452674902E-3</v>
      </c>
      <c r="AH11">
        <f t="shared" si="6"/>
        <v>3.2921178185457165E-5</v>
      </c>
      <c r="AI11">
        <f t="shared" si="7"/>
        <v>5.8928908951968323E-6</v>
      </c>
      <c r="AJ11" s="11"/>
      <c r="AK11">
        <v>2.5000000000000001E-2</v>
      </c>
      <c r="AL11" s="7">
        <f t="shared" si="20"/>
        <v>9.0020576131687256E-4</v>
      </c>
      <c r="AM11">
        <f t="shared" si="8"/>
        <v>3.4793685307964284E-5</v>
      </c>
      <c r="AN11">
        <f t="shared" si="9"/>
        <v>5.2538464815026064E-6</v>
      </c>
      <c r="AO11" s="11"/>
      <c r="AP11">
        <v>1E-3</v>
      </c>
      <c r="AQ11" s="7">
        <f t="shared" si="21"/>
        <v>1.440329218106996E-6</v>
      </c>
      <c r="AR11" s="10">
        <f t="shared" si="10"/>
        <v>1.9676030932408147E-4</v>
      </c>
      <c r="AS11" s="10">
        <f t="shared" si="11"/>
        <v>8.460693300935503E-6</v>
      </c>
      <c r="AT11" s="11"/>
      <c r="AU11">
        <f t="shared" si="22"/>
        <v>1.7775903296231102E-3</v>
      </c>
      <c r="AW11" s="47">
        <v>56.23</v>
      </c>
      <c r="BB11"/>
    </row>
    <row r="12" spans="1:54" x14ac:dyDescent="0.25">
      <c r="A12" s="4">
        <v>1.8</v>
      </c>
      <c r="B12" s="5">
        <v>63.095999999999997</v>
      </c>
      <c r="C12" s="5">
        <v>12.977</v>
      </c>
      <c r="D12" s="5"/>
      <c r="G12" s="18">
        <v>0.124</v>
      </c>
      <c r="I12" s="11" t="s">
        <v>18</v>
      </c>
      <c r="J12" s="11">
        <f>SUM(J4:J11)</f>
        <v>2.262</v>
      </c>
      <c r="O12" s="46">
        <v>0</v>
      </c>
      <c r="P12" s="11"/>
      <c r="Q12"/>
      <c r="R12"/>
      <c r="T12" s="46">
        <f>SUM(T10:T11)</f>
        <v>2.4924826865781228E-6</v>
      </c>
      <c r="U12" s="11"/>
      <c r="W12"/>
      <c r="Y12" s="46">
        <f>SUM(Y6:Y11)</f>
        <v>2.68508511482902E-5</v>
      </c>
      <c r="Z12" s="11"/>
      <c r="AB12"/>
      <c r="AD12" s="46">
        <f>SUM(AD4:AD11)</f>
        <v>3.7501861315860511E-5</v>
      </c>
      <c r="AE12" s="11"/>
      <c r="AG12"/>
      <c r="AI12" s="46">
        <f>SUM(AI4:AI11)</f>
        <v>6.182861214733703E-5</v>
      </c>
      <c r="AJ12" s="11"/>
      <c r="AL12"/>
      <c r="AN12" s="46">
        <f>SUM(AN4:AN11)</f>
        <v>6.2215926866746629E-5</v>
      </c>
      <c r="AO12" s="11"/>
      <c r="AQ12"/>
      <c r="AS12" s="46">
        <f>SUM(AS4:AS11)</f>
        <v>2.2349878912799527E-5</v>
      </c>
      <c r="AT12" s="11" t="s">
        <v>89</v>
      </c>
      <c r="AU12" s="55">
        <f>SUM(AU4:AU11)</f>
        <v>6.4554354806753873E-3</v>
      </c>
      <c r="AW12"/>
      <c r="BB12"/>
    </row>
    <row r="13" spans="1:54" x14ac:dyDescent="0.25">
      <c r="F13" t="s">
        <v>52</v>
      </c>
      <c r="G13" t="s">
        <v>56</v>
      </c>
      <c r="K13" s="25"/>
      <c r="O13" s="46">
        <v>0</v>
      </c>
      <c r="P13" s="11"/>
      <c r="Q13"/>
      <c r="R13"/>
      <c r="T13" s="25">
        <f>100*T12/$AU$13</f>
        <v>1.1688647576334439</v>
      </c>
      <c r="W13"/>
      <c r="Y13" s="25">
        <f>100*Y12/$AU$13</f>
        <v>12.59186825597803</v>
      </c>
      <c r="Z13" s="11"/>
      <c r="AB13"/>
      <c r="AD13" s="25">
        <f>100*AD12/$AU$13</f>
        <v>17.58672358039362</v>
      </c>
      <c r="AE13" s="11"/>
      <c r="AG13"/>
      <c r="AI13" s="25">
        <f>100*AI12/$AU$13</f>
        <v>28.994899800738949</v>
      </c>
      <c r="AJ13" s="25"/>
      <c r="AL13"/>
      <c r="AN13" s="25">
        <f>100*AN12/$AU$13</f>
        <v>29.176533369577133</v>
      </c>
      <c r="AO13" s="11"/>
      <c r="AQ13"/>
      <c r="AR13" t="s">
        <v>92</v>
      </c>
      <c r="AS13" s="25">
        <f>100*AS12/$AU$13</f>
        <v>10.48111023567883</v>
      </c>
      <c r="AT13" s="11" t="s">
        <v>90</v>
      </c>
      <c r="AU13" s="82">
        <f>O12+T12+Y12+AD12+AI12+AN12+AS12</f>
        <v>2.13239613077612E-4</v>
      </c>
      <c r="AV13" s="56">
        <f>AU12/AU13</f>
        <v>30.27315322658097</v>
      </c>
      <c r="AW13" t="s">
        <v>91</v>
      </c>
      <c r="BB13"/>
    </row>
    <row r="14" spans="1:54" s="25" customFormat="1" x14ac:dyDescent="0.25">
      <c r="E14" s="34"/>
      <c r="L14" s="26"/>
      <c r="M14" s="26"/>
      <c r="N14" s="26"/>
      <c r="O14" s="26"/>
      <c r="Y14" s="88"/>
      <c r="AD14" s="88"/>
      <c r="AI14" s="88"/>
      <c r="AN14" s="88"/>
      <c r="AS14" s="88"/>
      <c r="AX14" s="88"/>
      <c r="AZ14" s="88"/>
    </row>
    <row r="15" spans="1:54" s="25" customFormat="1" x14ac:dyDescent="0.25">
      <c r="A15" s="108" t="s">
        <v>95</v>
      </c>
      <c r="B15" s="108"/>
      <c r="C15" s="108"/>
      <c r="D15" s="89"/>
      <c r="E15" s="99" t="s">
        <v>136</v>
      </c>
      <c r="K15" s="11"/>
      <c r="O15" s="43">
        <v>6.5000000000000002E-2</v>
      </c>
      <c r="T15" s="43">
        <v>0.11899999999999999</v>
      </c>
      <c r="Y15" s="43">
        <v>0.224</v>
      </c>
      <c r="AD15" s="43">
        <v>0.16</v>
      </c>
      <c r="AI15" s="43">
        <v>0.17899999999999999</v>
      </c>
      <c r="AN15" s="43">
        <v>0.151</v>
      </c>
      <c r="AS15" s="43">
        <v>4.2999999999999997E-2</v>
      </c>
      <c r="AU15" s="25" t="e">
        <f>#REF!+O15+T15+Y15+AD15+AI15+AN15+AS15</f>
        <v>#REF!</v>
      </c>
    </row>
    <row r="16" spans="1:54" s="25" customFormat="1" ht="48.75" x14ac:dyDescent="0.4">
      <c r="A16" s="89" t="s">
        <v>2</v>
      </c>
      <c r="B16" s="3" t="s">
        <v>3</v>
      </c>
      <c r="C16" s="89" t="s">
        <v>4</v>
      </c>
      <c r="D16" s="9" t="s">
        <v>14</v>
      </c>
      <c r="E16" s="6" t="s">
        <v>9</v>
      </c>
      <c r="F16" s="44" t="s">
        <v>24</v>
      </c>
      <c r="G16" s="16" t="s">
        <v>49</v>
      </c>
      <c r="H16" s="6" t="s">
        <v>16</v>
      </c>
      <c r="I16" s="6" t="s">
        <v>15</v>
      </c>
      <c r="J16" s="8" t="s">
        <v>17</v>
      </c>
      <c r="K16" s="11"/>
      <c r="L16" s="6" t="s">
        <v>22</v>
      </c>
      <c r="M16" s="14" t="s">
        <v>23</v>
      </c>
      <c r="N16" s="8" t="s">
        <v>25</v>
      </c>
      <c r="O16" s="36" t="s">
        <v>86</v>
      </c>
      <c r="P16" s="11"/>
      <c r="Q16" t="s">
        <v>28</v>
      </c>
      <c r="R16" s="14" t="s">
        <v>23</v>
      </c>
      <c r="S16" s="8" t="s">
        <v>25</v>
      </c>
      <c r="T16" s="36" t="s">
        <v>86</v>
      </c>
      <c r="U16" s="11"/>
      <c r="V16" t="s">
        <v>28</v>
      </c>
      <c r="W16" s="14" t="s">
        <v>23</v>
      </c>
      <c r="X16" s="8" t="s">
        <v>25</v>
      </c>
      <c r="Y16" s="36" t="s">
        <v>86</v>
      </c>
      <c r="Z16" s="11"/>
      <c r="AA16" s="1" t="s">
        <v>28</v>
      </c>
      <c r="AB16" s="15" t="s">
        <v>29</v>
      </c>
      <c r="AC16" s="16" t="s">
        <v>25</v>
      </c>
      <c r="AD16" s="36" t="s">
        <v>86</v>
      </c>
      <c r="AE16" s="11"/>
      <c r="AF16" s="1" t="s">
        <v>28</v>
      </c>
      <c r="AG16" s="15" t="s">
        <v>29</v>
      </c>
      <c r="AH16" s="16" t="s">
        <v>25</v>
      </c>
      <c r="AI16" s="36" t="s">
        <v>86</v>
      </c>
      <c r="AJ16" s="11"/>
      <c r="AK16" s="1" t="s">
        <v>28</v>
      </c>
      <c r="AL16" s="15" t="s">
        <v>29</v>
      </c>
      <c r="AM16" s="16" t="s">
        <v>25</v>
      </c>
      <c r="AN16" s="36" t="s">
        <v>86</v>
      </c>
      <c r="AO16" s="11"/>
      <c r="AP16" s="1" t="s">
        <v>28</v>
      </c>
      <c r="AQ16" s="15" t="s">
        <v>29</v>
      </c>
      <c r="AR16" s="16" t="s">
        <v>25</v>
      </c>
      <c r="AS16" s="36" t="s">
        <v>86</v>
      </c>
      <c r="AT16" s="11"/>
      <c r="AU16" t="s">
        <v>99</v>
      </c>
      <c r="AV16"/>
      <c r="AW16" t="s">
        <v>87</v>
      </c>
    </row>
    <row r="17" spans="1:49" s="25" customFormat="1" x14ac:dyDescent="0.25">
      <c r="A17" s="4">
        <v>1</v>
      </c>
      <c r="B17" s="5">
        <v>10</v>
      </c>
      <c r="C17" s="4"/>
      <c r="D17" s="27">
        <f>(B17*B18)^0.5</f>
        <v>11.220071301021219</v>
      </c>
      <c r="E17" s="6" t="s">
        <v>8</v>
      </c>
      <c r="F17" s="45">
        <f>0.065*1600*9.8*B17/1000000</f>
        <v>1.0192E-2</v>
      </c>
      <c r="G17" s="18">
        <f>10^(0.544*LOG(B17)-1.885)</f>
        <v>4.56036915951296E-2</v>
      </c>
      <c r="H17" s="10">
        <f t="shared" ref="H17:H24" si="24">1600*9.8*(D17/1000000)^2/(18*0.0014)</f>
        <v>7.8331555555555585E-5</v>
      </c>
      <c r="I17" s="7">
        <f>100*H17</f>
        <v>7.8331555555555578E-3</v>
      </c>
      <c r="J17" s="61">
        <v>1</v>
      </c>
      <c r="K17" s="11"/>
      <c r="L17">
        <v>0.2</v>
      </c>
      <c r="M17" s="18">
        <v>5.8000000000000003E-2</v>
      </c>
      <c r="N17">
        <f t="shared" ref="N17:N24" si="25">J17*H17*(1-M17/F17)</f>
        <v>-3.6743279120879136E-4</v>
      </c>
      <c r="O17">
        <v>0</v>
      </c>
      <c r="P17" s="11"/>
      <c r="Q17">
        <v>0.15</v>
      </c>
      <c r="R17" s="7">
        <f>1050*(Q17/27)^2</f>
        <v>3.2407407407407406E-2</v>
      </c>
      <c r="S17">
        <f t="shared" ref="S17:S24" si="26">J17*H17*(1-R17/F17)</f>
        <v>-1.7073856157011718E-4</v>
      </c>
      <c r="T17">
        <v>0</v>
      </c>
      <c r="U17" s="11"/>
      <c r="V17">
        <v>0.1</v>
      </c>
      <c r="W17" s="7">
        <f>1050*(V17/27)^2</f>
        <v>1.4403292181069961E-2</v>
      </c>
      <c r="X17">
        <f t="shared" ref="X17:X24" si="27">J17*H17*(1-W17/F17)</f>
        <v>-3.2366274278076774E-5</v>
      </c>
      <c r="Y17">
        <v>0</v>
      </c>
      <c r="Z17" s="11"/>
      <c r="AA17">
        <v>7.4999999999999997E-2</v>
      </c>
      <c r="AB17" s="7">
        <f>1050*(AA17/27)^2</f>
        <v>8.1018518518518514E-3</v>
      </c>
      <c r="AC17">
        <f t="shared" ref="AC17:AC24" si="28">J17*H17*(1-AB17/F17)</f>
        <v>1.6064026274137394E-5</v>
      </c>
      <c r="AD17">
        <f t="shared" ref="AD17:AD23" si="29">AC17*$AD$2</f>
        <v>2.570244203861983E-6</v>
      </c>
      <c r="AE17" s="11"/>
      <c r="AF17">
        <v>0.05</v>
      </c>
      <c r="AG17" s="7">
        <f>1050*(AF17/27)^2</f>
        <v>3.6008230452674902E-3</v>
      </c>
      <c r="AH17">
        <f t="shared" ref="AH17:AH24" si="30">J17*H17*(1-AG17/F17)</f>
        <v>5.0657098097147497E-5</v>
      </c>
      <c r="AI17">
        <f t="shared" ref="AI17:AI23" si="31">AH17*$AI$2</f>
        <v>9.0676205593894022E-6</v>
      </c>
      <c r="AJ17" s="11"/>
      <c r="AK17">
        <v>2.5000000000000001E-2</v>
      </c>
      <c r="AL17" s="7">
        <f>1050*(AK17/27)^2</f>
        <v>9.0020576131687256E-4</v>
      </c>
      <c r="AM17">
        <f t="shared" ref="AM17:AM24" si="32">J17*H17*(1-AL17/F17)</f>
        <v>7.141294119095357E-5</v>
      </c>
      <c r="AN17">
        <f t="shared" ref="AN17:AN23" si="33">AM17*$AN$2</f>
        <v>1.078335411983399E-5</v>
      </c>
      <c r="AO17" s="11"/>
      <c r="AP17">
        <v>1E-3</v>
      </c>
      <c r="AQ17" s="7">
        <f>1050*(AP17/27)^2</f>
        <v>1.440329218106996E-6</v>
      </c>
      <c r="AR17" s="10">
        <f t="shared" ref="AR17:AR24" si="34">0.1*H17*(1-AQ17/F17)</f>
        <v>7.8320485772572228E-6</v>
      </c>
      <c r="AS17" s="10">
        <f t="shared" ref="AS17:AS23" si="35">AR17*$AS$2</f>
        <v>3.3677808882206054E-7</v>
      </c>
      <c r="AT17" s="11"/>
      <c r="AU17">
        <f>(O17+T17+Y17+AD17+AI17+AN17+AS17)*AW17</f>
        <v>2.5534472602480144E-4</v>
      </c>
      <c r="AV17"/>
      <c r="AW17" s="47">
        <v>11.22</v>
      </c>
    </row>
    <row r="18" spans="1:49" s="25" customFormat="1" x14ac:dyDescent="0.25">
      <c r="A18" s="4">
        <v>1.1000000000000001</v>
      </c>
      <c r="B18" s="5">
        <v>12.589</v>
      </c>
      <c r="C18" s="5">
        <v>2.589</v>
      </c>
      <c r="D18" s="27">
        <f t="shared" ref="D18:D24" si="36">(B18*B19)^0.5</f>
        <v>14.125263218786403</v>
      </c>
      <c r="E18" s="6" t="s">
        <v>5</v>
      </c>
      <c r="F18" s="45">
        <f t="shared" ref="F18:F24" si="37">0.065*1600*9.8*B18/1000000</f>
        <v>1.28307088E-2</v>
      </c>
      <c r="G18" s="18">
        <f t="shared" ref="G18:G25" si="38">10^(0.544*LOG(B18)-1.885)</f>
        <v>5.1688654951225675E-2</v>
      </c>
      <c r="H18" s="10">
        <f t="shared" si="24"/>
        <v>1.2414768240000002E-4</v>
      </c>
      <c r="I18" s="7">
        <f t="shared" ref="I18:I24" si="39">100*H18</f>
        <v>1.2414768240000002E-2</v>
      </c>
      <c r="J18" s="43">
        <v>0.56200000000000006</v>
      </c>
      <c r="K18" s="11"/>
      <c r="L18">
        <v>0.2</v>
      </c>
      <c r="M18" s="18">
        <v>5.8000000000000003E-2</v>
      </c>
      <c r="N18">
        <f t="shared" si="25"/>
        <v>-2.4562216732636498E-4</v>
      </c>
      <c r="O18">
        <v>0</v>
      </c>
      <c r="P18" s="11"/>
      <c r="Q18">
        <v>0.15</v>
      </c>
      <c r="R18" s="7">
        <f t="shared" ref="R18:R24" si="40">1050*(Q18/27)^2</f>
        <v>3.2407407407407406E-2</v>
      </c>
      <c r="S18">
        <f t="shared" si="26"/>
        <v>-1.0645442984162739E-4</v>
      </c>
      <c r="T18">
        <v>0</v>
      </c>
      <c r="U18" s="11"/>
      <c r="V18">
        <v>0.1</v>
      </c>
      <c r="W18" s="7">
        <f t="shared" ref="W18:W24" si="41">1050*(V18/27)^2</f>
        <v>1.4403292181069961E-2</v>
      </c>
      <c r="X18">
        <f t="shared" si="27"/>
        <v>-8.5514146469455005E-6</v>
      </c>
      <c r="Y18">
        <v>0</v>
      </c>
      <c r="Z18" s="11"/>
      <c r="AA18">
        <v>7.4999999999999997E-2</v>
      </c>
      <c r="AB18" s="7">
        <f t="shared" ref="AB18:AB24" si="42">1050*(AA18/27)^2</f>
        <v>8.1018518518518514E-3</v>
      </c>
      <c r="AC18">
        <f t="shared" si="28"/>
        <v>2.5714640671193172E-5</v>
      </c>
      <c r="AD18">
        <f t="shared" si="29"/>
        <v>4.1143425073909073E-6</v>
      </c>
      <c r="AE18" s="11"/>
      <c r="AF18">
        <v>0.05</v>
      </c>
      <c r="AG18" s="7">
        <f t="shared" ref="AG18:AG24" si="43">1050*(AF18/27)^2</f>
        <v>3.6008230452674902E-3</v>
      </c>
      <c r="AH18">
        <f t="shared" si="30"/>
        <v>5.0190394469863647E-5</v>
      </c>
      <c r="AI18">
        <f t="shared" si="31"/>
        <v>8.9840806101055918E-6</v>
      </c>
      <c r="AJ18" s="11"/>
      <c r="AK18">
        <v>2.5000000000000001E-2</v>
      </c>
      <c r="AL18" s="7">
        <f t="shared" ref="AL18:AL24" si="44">1050*(AK18/27)^2</f>
        <v>9.0020576131687256E-4</v>
      </c>
      <c r="AM18">
        <f t="shared" si="32"/>
        <v>6.4875846749065929E-5</v>
      </c>
      <c r="AN18">
        <f t="shared" si="33"/>
        <v>9.7962528591089554E-6</v>
      </c>
      <c r="AO18" s="11"/>
      <c r="AP18">
        <v>1E-3</v>
      </c>
      <c r="AQ18" s="7">
        <f t="shared" ref="AQ18:AQ24" si="45">1050*(AP18/27)^2</f>
        <v>1.440329218106996E-6</v>
      </c>
      <c r="AR18" s="10">
        <f t="shared" si="34"/>
        <v>1.2413374602773032E-5</v>
      </c>
      <c r="AS18" s="10">
        <f t="shared" si="35"/>
        <v>5.3377510791924038E-7</v>
      </c>
      <c r="AT18" s="11"/>
      <c r="AU18">
        <f t="shared" ref="AU18:AU24" si="46">(O18+T18+Y18+AD18+AI18+AN18+AS18)*AW18</f>
        <v>3.3104401382433399E-4</v>
      </c>
      <c r="AV18"/>
      <c r="AW18" s="47">
        <v>14.13</v>
      </c>
    </row>
    <row r="19" spans="1:49" s="25" customFormat="1" x14ac:dyDescent="0.25">
      <c r="A19" s="4">
        <v>1.2</v>
      </c>
      <c r="B19" s="5">
        <v>15.849</v>
      </c>
      <c r="C19" s="5">
        <v>3.26</v>
      </c>
      <c r="D19" s="27">
        <f t="shared" si="36"/>
        <v>17.783000224933925</v>
      </c>
      <c r="E19" s="6" t="s">
        <v>6</v>
      </c>
      <c r="F19" s="45">
        <f t="shared" si="37"/>
        <v>1.6153300799999999E-2</v>
      </c>
      <c r="G19" s="18">
        <f t="shared" si="38"/>
        <v>5.8586966901058878E-2</v>
      </c>
      <c r="H19" s="10">
        <f t="shared" si="24"/>
        <v>1.9676850480000003E-4</v>
      </c>
      <c r="I19" s="7">
        <f t="shared" si="39"/>
        <v>1.9676850480000004E-2</v>
      </c>
      <c r="J19" s="43">
        <v>0.316</v>
      </c>
      <c r="K19" s="11"/>
      <c r="L19">
        <v>0.2</v>
      </c>
      <c r="M19" s="18">
        <v>5.8000000000000003E-2</v>
      </c>
      <c r="N19">
        <f t="shared" si="25"/>
        <v>-1.6108036127440885E-4</v>
      </c>
      <c r="O19">
        <v>0</v>
      </c>
      <c r="P19" s="11"/>
      <c r="Q19">
        <v>0.15</v>
      </c>
      <c r="R19" s="7">
        <f t="shared" si="40"/>
        <v>3.2407407407407406E-2</v>
      </c>
      <c r="S19">
        <f t="shared" si="26"/>
        <v>-6.2566878978926506E-5</v>
      </c>
      <c r="T19">
        <v>0</v>
      </c>
      <c r="U19" s="11"/>
      <c r="V19">
        <v>0.1</v>
      </c>
      <c r="W19" s="7">
        <f t="shared" si="41"/>
        <v>1.4403292181069961E-2</v>
      </c>
      <c r="X19">
        <f t="shared" si="27"/>
        <v>6.7363024075882154E-6</v>
      </c>
      <c r="Y19">
        <f t="shared" ref="Y19:Y23" si="47">X19*$Y$2</f>
        <v>1.5089317392997602E-6</v>
      </c>
      <c r="Z19" s="11"/>
      <c r="AA19">
        <v>7.4999999999999997E-2</v>
      </c>
      <c r="AB19" s="7">
        <f t="shared" si="42"/>
        <v>8.1018518518518514E-3</v>
      </c>
      <c r="AC19">
        <f t="shared" si="28"/>
        <v>3.0992415892868386E-5</v>
      </c>
      <c r="AD19">
        <f t="shared" si="29"/>
        <v>4.9587865428589418E-6</v>
      </c>
      <c r="AE19" s="11"/>
      <c r="AF19">
        <v>0.05</v>
      </c>
      <c r="AG19" s="7">
        <f t="shared" si="43"/>
        <v>3.6008230452674902E-3</v>
      </c>
      <c r="AH19">
        <f t="shared" si="30"/>
        <v>4.8318211239497066E-5</v>
      </c>
      <c r="AI19">
        <f t="shared" si="31"/>
        <v>8.6489598118699745E-6</v>
      </c>
      <c r="AJ19" s="11"/>
      <c r="AK19">
        <v>2.5000000000000001E-2</v>
      </c>
      <c r="AL19" s="7">
        <f t="shared" si="44"/>
        <v>9.0020576131687256E-4</v>
      </c>
      <c r="AM19">
        <f t="shared" si="32"/>
        <v>5.8713688447474272E-5</v>
      </c>
      <c r="AN19">
        <f t="shared" si="33"/>
        <v>8.8657669555686145E-6</v>
      </c>
      <c r="AO19" s="11"/>
      <c r="AP19">
        <v>1E-3</v>
      </c>
      <c r="AQ19" s="7">
        <f t="shared" si="45"/>
        <v>1.440329218106996E-6</v>
      </c>
      <c r="AR19" s="10">
        <f t="shared" si="34"/>
        <v>1.9675095969078825E-5</v>
      </c>
      <c r="AS19" s="10">
        <f t="shared" si="35"/>
        <v>8.4602912667038943E-7</v>
      </c>
      <c r="AT19" s="11"/>
      <c r="AU19">
        <f t="shared" si="46"/>
        <v>4.4145027085403942E-4</v>
      </c>
      <c r="AV19"/>
      <c r="AW19" s="47">
        <v>17.78</v>
      </c>
    </row>
    <row r="20" spans="1:49" s="25" customFormat="1" x14ac:dyDescent="0.25">
      <c r="A20" s="4">
        <v>1.3</v>
      </c>
      <c r="B20" s="5">
        <v>19.952999999999999</v>
      </c>
      <c r="C20" s="5">
        <v>4.1040000000000001</v>
      </c>
      <c r="D20" s="27">
        <f t="shared" si="36"/>
        <v>22.387483266325404</v>
      </c>
      <c r="E20" s="6" t="s">
        <v>7</v>
      </c>
      <c r="F20" s="45">
        <f t="shared" si="37"/>
        <v>2.0336097600000002E-2</v>
      </c>
      <c r="G20" s="18">
        <f t="shared" si="38"/>
        <v>6.6405562862589834E-2</v>
      </c>
      <c r="H20" s="10">
        <f t="shared" si="24"/>
        <v>3.118574088E-4</v>
      </c>
      <c r="I20" s="7">
        <f t="shared" si="39"/>
        <v>3.118574088E-2</v>
      </c>
      <c r="J20" s="43">
        <v>0.17799999999999999</v>
      </c>
      <c r="K20" s="11"/>
      <c r="L20">
        <v>0.2</v>
      </c>
      <c r="M20" s="18">
        <v>5.8000000000000003E-2</v>
      </c>
      <c r="N20">
        <f t="shared" si="25"/>
        <v>-1.0280962299184175E-4</v>
      </c>
      <c r="O20">
        <v>0</v>
      </c>
      <c r="P20" s="11"/>
      <c r="Q20">
        <v>0.15</v>
      </c>
      <c r="R20" s="7">
        <f t="shared" si="40"/>
        <v>3.2407407407407406E-2</v>
      </c>
      <c r="S20">
        <f t="shared" si="26"/>
        <v>-3.2950563569782321E-5</v>
      </c>
      <c r="T20">
        <v>0</v>
      </c>
      <c r="U20" s="11"/>
      <c r="V20">
        <v>0.1</v>
      </c>
      <c r="W20" s="7">
        <f t="shared" si="41"/>
        <v>1.4403292181069961E-2</v>
      </c>
      <c r="X20">
        <f t="shared" si="27"/>
        <v>1.6194537728096738E-5</v>
      </c>
      <c r="Y20">
        <f t="shared" si="47"/>
        <v>3.6275764510936696E-6</v>
      </c>
      <c r="Z20" s="11"/>
      <c r="AA20">
        <v>7.4999999999999997E-2</v>
      </c>
      <c r="AB20" s="7">
        <f t="shared" si="42"/>
        <v>8.1018518518518514E-3</v>
      </c>
      <c r="AC20">
        <f t="shared" si="28"/>
        <v>3.3395323182354415E-5</v>
      </c>
      <c r="AD20">
        <f t="shared" si="29"/>
        <v>5.3432517091767065E-6</v>
      </c>
      <c r="AE20" s="11"/>
      <c r="AF20">
        <v>0.05</v>
      </c>
      <c r="AG20" s="7">
        <f t="shared" si="43"/>
        <v>3.6008230452674902E-3</v>
      </c>
      <c r="AH20">
        <f t="shared" si="30"/>
        <v>4.5681598506824184E-5</v>
      </c>
      <c r="AI20">
        <f t="shared" si="31"/>
        <v>8.1770061327215294E-6</v>
      </c>
      <c r="AJ20" s="11"/>
      <c r="AK20">
        <v>2.5000000000000001E-2</v>
      </c>
      <c r="AL20" s="7">
        <f t="shared" si="44"/>
        <v>9.0020576131687256E-4</v>
      </c>
      <c r="AM20">
        <f t="shared" si="32"/>
        <v>5.3053363701506041E-5</v>
      </c>
      <c r="AN20">
        <f t="shared" si="33"/>
        <v>8.0110579189274124E-6</v>
      </c>
      <c r="AO20" s="11"/>
      <c r="AP20">
        <v>1E-3</v>
      </c>
      <c r="AQ20" s="7">
        <f t="shared" si="45"/>
        <v>1.440329218106996E-6</v>
      </c>
      <c r="AR20" s="10">
        <f t="shared" si="34"/>
        <v>3.1183532111402347E-5</v>
      </c>
      <c r="AS20" s="10">
        <f t="shared" si="35"/>
        <v>1.3408918807903007E-6</v>
      </c>
      <c r="AT20" s="11"/>
      <c r="AU20">
        <f t="shared" si="46"/>
        <v>5.933301658357685E-4</v>
      </c>
      <c r="AV20"/>
      <c r="AW20" s="47">
        <v>22.39</v>
      </c>
    </row>
    <row r="21" spans="1:49" s="25" customFormat="1" x14ac:dyDescent="0.25">
      <c r="A21" s="4">
        <v>1.4</v>
      </c>
      <c r="B21" s="5">
        <v>25.119</v>
      </c>
      <c r="C21" s="5">
        <v>5.1660000000000004</v>
      </c>
      <c r="D21" s="27">
        <f t="shared" si="36"/>
        <v>28.184004985097488</v>
      </c>
      <c r="E21" s="6" t="s">
        <v>10</v>
      </c>
      <c r="F21" s="45">
        <f t="shared" si="37"/>
        <v>2.5601284800000002E-2</v>
      </c>
      <c r="G21" s="18">
        <f t="shared" si="38"/>
        <v>7.5266422877521957E-2</v>
      </c>
      <c r="H21" s="10">
        <f t="shared" si="24"/>
        <v>4.9425484080000011E-4</v>
      </c>
      <c r="I21" s="7">
        <f t="shared" si="39"/>
        <v>4.9425484080000012E-2</v>
      </c>
      <c r="J21" s="43">
        <v>0.1</v>
      </c>
      <c r="K21" s="11"/>
      <c r="L21">
        <v>0.2</v>
      </c>
      <c r="M21" s="18">
        <v>5.8000000000000003E-2</v>
      </c>
      <c r="N21">
        <f t="shared" si="25"/>
        <v>-6.254850859399267E-5</v>
      </c>
      <c r="O21">
        <v>0</v>
      </c>
      <c r="P21" s="11"/>
      <c r="Q21">
        <v>0.15</v>
      </c>
      <c r="R21" s="7">
        <f t="shared" si="40"/>
        <v>3.2407407407407406E-2</v>
      </c>
      <c r="S21">
        <f t="shared" si="26"/>
        <v>-1.3139805568622975E-5</v>
      </c>
      <c r="T21">
        <v>0</v>
      </c>
      <c r="U21" s="11"/>
      <c r="V21">
        <v>0.1</v>
      </c>
      <c r="W21" s="7">
        <f t="shared" si="41"/>
        <v>1.4403292181069961E-2</v>
      </c>
      <c r="X21">
        <f t="shared" si="27"/>
        <v>2.1618688680612014E-5</v>
      </c>
      <c r="Y21">
        <f t="shared" si="47"/>
        <v>4.8425862644570913E-6</v>
      </c>
      <c r="Z21" s="11"/>
      <c r="AA21">
        <v>7.4999999999999997E-2</v>
      </c>
      <c r="AB21" s="7">
        <f t="shared" si="42"/>
        <v>8.1018518518518514E-3</v>
      </c>
      <c r="AC21">
        <f t="shared" si="28"/>
        <v>3.3784161667844267E-5</v>
      </c>
      <c r="AD21">
        <f t="shared" si="29"/>
        <v>5.405465866855083E-6</v>
      </c>
      <c r="AE21" s="11"/>
      <c r="AF21">
        <v>0.05</v>
      </c>
      <c r="AG21" s="7">
        <f t="shared" si="43"/>
        <v>3.6008230452674902E-3</v>
      </c>
      <c r="AH21">
        <f t="shared" si="30"/>
        <v>4.2473785230153013E-5</v>
      </c>
      <c r="AI21">
        <f t="shared" si="31"/>
        <v>7.6028075561973893E-6</v>
      </c>
      <c r="AJ21" s="11"/>
      <c r="AK21">
        <v>2.5000000000000001E-2</v>
      </c>
      <c r="AL21" s="7">
        <f t="shared" si="44"/>
        <v>9.0020576131687256E-4</v>
      </c>
      <c r="AM21">
        <f t="shared" si="32"/>
        <v>4.7687559367538263E-5</v>
      </c>
      <c r="AN21">
        <f t="shared" si="33"/>
        <v>7.2008214644982778E-6</v>
      </c>
      <c r="AO21" s="11"/>
      <c r="AP21">
        <v>1E-3</v>
      </c>
      <c r="AQ21" s="7">
        <f t="shared" si="45"/>
        <v>1.440329218106996E-6</v>
      </c>
      <c r="AR21" s="10">
        <f t="shared" si="34"/>
        <v>4.9422703400460073E-5</v>
      </c>
      <c r="AS21" s="10">
        <f t="shared" si="35"/>
        <v>2.125176246219783E-6</v>
      </c>
      <c r="AT21" s="11"/>
      <c r="AU21">
        <f t="shared" si="46"/>
        <v>7.6584384148205439E-4</v>
      </c>
      <c r="AV21"/>
      <c r="AW21" s="47">
        <v>28.18</v>
      </c>
    </row>
    <row r="22" spans="1:49" s="25" customFormat="1" x14ac:dyDescent="0.25">
      <c r="A22" s="4">
        <v>1.5</v>
      </c>
      <c r="B22" s="5">
        <v>31.623000000000001</v>
      </c>
      <c r="C22" s="5">
        <v>6.5039999999999996</v>
      </c>
      <c r="D22" s="27">
        <f t="shared" si="36"/>
        <v>35.481590339216758</v>
      </c>
      <c r="E22" s="6" t="s">
        <v>11</v>
      </c>
      <c r="F22" s="45">
        <f t="shared" si="37"/>
        <v>3.2230161600000001E-2</v>
      </c>
      <c r="G22" s="18">
        <f t="shared" si="38"/>
        <v>8.5310339253953912E-2</v>
      </c>
      <c r="H22" s="10">
        <f t="shared" si="24"/>
        <v>7.8334246853333357E-4</v>
      </c>
      <c r="I22" s="7">
        <f t="shared" si="39"/>
        <v>7.8334246853333359E-2</v>
      </c>
      <c r="J22" s="43">
        <v>5.6000000000000001E-2</v>
      </c>
      <c r="K22" s="11"/>
      <c r="L22">
        <v>0.2</v>
      </c>
      <c r="M22" s="18">
        <v>5.8000000000000003E-2</v>
      </c>
      <c r="N22">
        <f t="shared" si="25"/>
        <v>-3.5074291847603427E-5</v>
      </c>
      <c r="O22">
        <v>0</v>
      </c>
      <c r="P22" s="11"/>
      <c r="Q22">
        <v>0.15</v>
      </c>
      <c r="R22" s="7">
        <f t="shared" si="40"/>
        <v>3.2407407407407406E-2</v>
      </c>
      <c r="S22">
        <f t="shared" si="26"/>
        <v>-2.4124214833149478E-7</v>
      </c>
      <c r="T22">
        <v>0</v>
      </c>
      <c r="U22" s="11"/>
      <c r="V22">
        <v>0.1</v>
      </c>
      <c r="W22" s="7">
        <f t="shared" si="41"/>
        <v>1.4403292181069961E-2</v>
      </c>
      <c r="X22">
        <f t="shared" si="27"/>
        <v>2.4263435844000818E-5</v>
      </c>
      <c r="Y22">
        <f t="shared" si="47"/>
        <v>5.4350096290561834E-6</v>
      </c>
      <c r="Z22" s="11"/>
      <c r="AA22">
        <v>7.4999999999999997E-2</v>
      </c>
      <c r="AB22" s="7">
        <f t="shared" si="42"/>
        <v>8.1018518518518514E-3</v>
      </c>
      <c r="AC22">
        <f t="shared" si="28"/>
        <v>3.2840073141317138E-5</v>
      </c>
      <c r="AD22">
        <f t="shared" si="29"/>
        <v>5.2544117026107424E-6</v>
      </c>
      <c r="AE22" s="11"/>
      <c r="AF22">
        <v>0.05</v>
      </c>
      <c r="AG22" s="7">
        <f t="shared" si="43"/>
        <v>3.6008230452674902E-3</v>
      </c>
      <c r="AH22">
        <f t="shared" si="30"/>
        <v>3.8966242639400216E-5</v>
      </c>
      <c r="AI22">
        <f t="shared" si="31"/>
        <v>6.9749574324526382E-6</v>
      </c>
      <c r="AJ22" s="11"/>
      <c r="AK22">
        <v>2.5000000000000001E-2</v>
      </c>
      <c r="AL22" s="7">
        <f t="shared" si="44"/>
        <v>9.0020576131687256E-4</v>
      </c>
      <c r="AM22">
        <f t="shared" si="32"/>
        <v>4.2641944338250061E-5</v>
      </c>
      <c r="AN22">
        <f t="shared" si="33"/>
        <v>6.4389335950757589E-6</v>
      </c>
      <c r="AO22" s="11"/>
      <c r="AP22">
        <v>1E-3</v>
      </c>
      <c r="AQ22" s="7">
        <f t="shared" si="45"/>
        <v>1.440329218106996E-6</v>
      </c>
      <c r="AR22" s="10">
        <f t="shared" si="34"/>
        <v>7.8330746185048745E-5</v>
      </c>
      <c r="AS22" s="10">
        <f t="shared" si="35"/>
        <v>3.3682220859570957E-6</v>
      </c>
      <c r="AT22" s="11"/>
      <c r="AU22">
        <f t="shared" si="46"/>
        <v>9.7469004211400776E-4</v>
      </c>
      <c r="AV22"/>
      <c r="AW22" s="47">
        <v>35.479999999999997</v>
      </c>
    </row>
    <row r="23" spans="1:49" s="25" customFormat="1" x14ac:dyDescent="0.25">
      <c r="A23" s="4">
        <v>1.6</v>
      </c>
      <c r="B23" s="5">
        <v>39.811</v>
      </c>
      <c r="C23" s="5">
        <v>8.1880000000000006</v>
      </c>
      <c r="D23" s="27">
        <f t="shared" si="36"/>
        <v>44.668641226256256</v>
      </c>
      <c r="E23" s="6" t="s">
        <v>12</v>
      </c>
      <c r="F23" s="45">
        <f t="shared" si="37"/>
        <v>4.0575371200000002E-2</v>
      </c>
      <c r="G23" s="18">
        <f t="shared" si="38"/>
        <v>9.6694479312890325E-2</v>
      </c>
      <c r="H23" s="10">
        <f t="shared" si="24"/>
        <v>1.2415122278222224E-3</v>
      </c>
      <c r="I23" s="7">
        <f t="shared" si="39"/>
        <v>0.12415122278222224</v>
      </c>
      <c r="J23" s="43">
        <v>0</v>
      </c>
      <c r="K23" s="11"/>
      <c r="L23">
        <v>0.2</v>
      </c>
      <c r="M23" s="18">
        <v>5.8000000000000003E-2</v>
      </c>
      <c r="N23">
        <f t="shared" si="25"/>
        <v>0</v>
      </c>
      <c r="O23">
        <v>0</v>
      </c>
      <c r="P23" s="11"/>
      <c r="Q23">
        <v>0.15</v>
      </c>
      <c r="R23" s="7">
        <f t="shared" si="40"/>
        <v>3.2407407407407406E-2</v>
      </c>
      <c r="S23">
        <f t="shared" si="26"/>
        <v>0</v>
      </c>
      <c r="T23">
        <f>S23*$T$2</f>
        <v>0</v>
      </c>
      <c r="U23" s="11"/>
      <c r="V23">
        <v>0.1</v>
      </c>
      <c r="W23" s="7">
        <f t="shared" si="41"/>
        <v>1.4403292181069961E-2</v>
      </c>
      <c r="X23">
        <f t="shared" si="27"/>
        <v>0</v>
      </c>
      <c r="Y23">
        <f t="shared" si="47"/>
        <v>0</v>
      </c>
      <c r="Z23" s="11"/>
      <c r="AA23">
        <v>7.4999999999999997E-2</v>
      </c>
      <c r="AB23" s="7">
        <f t="shared" si="42"/>
        <v>8.1018518518518514E-3</v>
      </c>
      <c r="AC23">
        <f t="shared" si="28"/>
        <v>0</v>
      </c>
      <c r="AD23">
        <f t="shared" si="29"/>
        <v>0</v>
      </c>
      <c r="AE23" s="11"/>
      <c r="AF23">
        <v>0.05</v>
      </c>
      <c r="AG23" s="7">
        <f t="shared" si="43"/>
        <v>3.6008230452674902E-3</v>
      </c>
      <c r="AH23">
        <f t="shared" si="30"/>
        <v>0</v>
      </c>
      <c r="AI23">
        <f t="shared" si="31"/>
        <v>0</v>
      </c>
      <c r="AJ23" s="11"/>
      <c r="AK23">
        <v>2.5000000000000001E-2</v>
      </c>
      <c r="AL23" s="7">
        <f t="shared" si="44"/>
        <v>9.0020576131687256E-4</v>
      </c>
      <c r="AM23">
        <f t="shared" si="32"/>
        <v>0</v>
      </c>
      <c r="AN23">
        <f t="shared" si="33"/>
        <v>0</v>
      </c>
      <c r="AO23" s="11"/>
      <c r="AP23">
        <v>1E-3</v>
      </c>
      <c r="AQ23" s="7">
        <f t="shared" si="45"/>
        <v>1.440329218106996E-6</v>
      </c>
      <c r="AR23">
        <f>J23*H23*(1-AQ23/F23)</f>
        <v>0</v>
      </c>
      <c r="AS23" s="10">
        <f t="shared" si="35"/>
        <v>0</v>
      </c>
      <c r="AT23" s="11"/>
      <c r="AU23">
        <f t="shared" si="46"/>
        <v>0</v>
      </c>
      <c r="AV23"/>
      <c r="AW23" s="47">
        <v>44.67</v>
      </c>
    </row>
    <row r="24" spans="1:49" s="25" customFormat="1" x14ac:dyDescent="0.25">
      <c r="A24" s="4">
        <v>1.7</v>
      </c>
      <c r="B24" s="5">
        <v>50.119</v>
      </c>
      <c r="C24" s="5">
        <v>10.308</v>
      </c>
      <c r="D24" s="27">
        <f t="shared" si="36"/>
        <v>56.234406051811376</v>
      </c>
      <c r="E24" s="6" t="s">
        <v>13</v>
      </c>
      <c r="F24" s="45">
        <f t="shared" si="37"/>
        <v>5.1081284800000001E-2</v>
      </c>
      <c r="G24" s="18">
        <f t="shared" si="38"/>
        <v>0.10959766563810838</v>
      </c>
      <c r="H24" s="10">
        <f t="shared" si="24"/>
        <v>1.9676585749333333E-3</v>
      </c>
      <c r="I24" s="7">
        <f t="shared" si="39"/>
        <v>0.19676585749333333</v>
      </c>
      <c r="J24" s="43">
        <v>0</v>
      </c>
      <c r="K24" s="11"/>
      <c r="L24">
        <v>0.2</v>
      </c>
      <c r="M24" s="18">
        <v>5.8000000000000003E-2</v>
      </c>
      <c r="N24">
        <f t="shared" si="25"/>
        <v>0</v>
      </c>
      <c r="O24">
        <v>0</v>
      </c>
      <c r="P24" s="11"/>
      <c r="Q24">
        <v>0.15</v>
      </c>
      <c r="R24" s="7">
        <f t="shared" si="40"/>
        <v>3.2407407407407406E-2</v>
      </c>
      <c r="S24">
        <f t="shared" si="26"/>
        <v>0</v>
      </c>
      <c r="T24" s="1">
        <v>0</v>
      </c>
      <c r="U24" s="11"/>
      <c r="V24">
        <v>0.1</v>
      </c>
      <c r="W24" s="7">
        <f t="shared" si="41"/>
        <v>1.4403292181069961E-2</v>
      </c>
      <c r="X24">
        <f t="shared" si="27"/>
        <v>0</v>
      </c>
      <c r="Y24" s="1">
        <v>0</v>
      </c>
      <c r="Z24" s="11"/>
      <c r="AA24">
        <v>7.4999999999999997E-2</v>
      </c>
      <c r="AB24" s="7">
        <f t="shared" si="42"/>
        <v>8.1018518518518514E-3</v>
      </c>
      <c r="AC24">
        <f t="shared" si="28"/>
        <v>0</v>
      </c>
      <c r="AD24" s="1">
        <v>0</v>
      </c>
      <c r="AE24" s="11"/>
      <c r="AF24">
        <v>0.05</v>
      </c>
      <c r="AG24" s="7">
        <f t="shared" si="43"/>
        <v>3.6008230452674902E-3</v>
      </c>
      <c r="AH24">
        <f t="shared" si="30"/>
        <v>0</v>
      </c>
      <c r="AI24" s="1">
        <v>0</v>
      </c>
      <c r="AJ24" s="11"/>
      <c r="AK24">
        <v>2.5000000000000001E-2</v>
      </c>
      <c r="AL24" s="7">
        <f t="shared" si="44"/>
        <v>9.0020576131687256E-4</v>
      </c>
      <c r="AM24">
        <f t="shared" si="32"/>
        <v>0</v>
      </c>
      <c r="AN24" s="1">
        <v>0</v>
      </c>
      <c r="AO24" s="11"/>
      <c r="AP24">
        <v>1E-3</v>
      </c>
      <c r="AQ24" s="7">
        <f t="shared" si="45"/>
        <v>1.440329218106996E-6</v>
      </c>
      <c r="AR24">
        <f>J24*H24*(1-AQ24/F24)</f>
        <v>0</v>
      </c>
      <c r="AS24" s="1">
        <v>0</v>
      </c>
      <c r="AT24" s="11"/>
      <c r="AU24">
        <f t="shared" si="46"/>
        <v>0</v>
      </c>
      <c r="AV24"/>
      <c r="AW24" s="47">
        <v>56.23</v>
      </c>
    </row>
    <row r="25" spans="1:49" s="25" customFormat="1" x14ac:dyDescent="0.25">
      <c r="A25" s="4">
        <v>1.8</v>
      </c>
      <c r="B25" s="5">
        <v>63.095999999999997</v>
      </c>
      <c r="C25" s="5">
        <v>12.977</v>
      </c>
      <c r="D25" s="5"/>
      <c r="E25" s="6"/>
      <c r="F25"/>
      <c r="G25" s="18">
        <f t="shared" si="38"/>
        <v>0.12422270854144651</v>
      </c>
      <c r="H25"/>
      <c r="I25" s="11" t="s">
        <v>18</v>
      </c>
      <c r="J25" s="11">
        <f>SUM(J17:J24)</f>
        <v>2.2120000000000002</v>
      </c>
      <c r="K25" s="11"/>
      <c r="L25"/>
      <c r="M25"/>
      <c r="N25"/>
      <c r="O25" s="46">
        <v>0</v>
      </c>
      <c r="P25" s="11"/>
      <c r="Q25"/>
      <c r="R25"/>
      <c r="S25"/>
      <c r="T25" s="46">
        <f>SUM(T23:T24)</f>
        <v>0</v>
      </c>
      <c r="U25" s="11"/>
      <c r="V25"/>
      <c r="W25"/>
      <c r="X25"/>
      <c r="Y25" s="46">
        <f>SUM(Y19:Y24)</f>
        <v>1.5414104083906704E-5</v>
      </c>
      <c r="Z25" s="11"/>
      <c r="AA25"/>
      <c r="AB25"/>
      <c r="AC25"/>
      <c r="AD25" s="46">
        <f>SUM(AD17:AD24)</f>
        <v>2.7646502532754365E-5</v>
      </c>
      <c r="AE25" s="11"/>
      <c r="AF25"/>
      <c r="AG25"/>
      <c r="AH25"/>
      <c r="AI25" s="46">
        <f>SUM(AI17:AI24)</f>
        <v>4.9455432102736526E-5</v>
      </c>
      <c r="AJ25" s="11"/>
      <c r="AK25"/>
      <c r="AL25"/>
      <c r="AM25"/>
      <c r="AN25" s="46">
        <f>SUM(AN17:AN24)</f>
        <v>5.1096186913013008E-5</v>
      </c>
      <c r="AO25" s="11"/>
      <c r="AP25"/>
      <c r="AQ25"/>
      <c r="AR25"/>
      <c r="AS25" s="46">
        <f>SUM(AS17:AS24)</f>
        <v>8.5508725363788703E-6</v>
      </c>
      <c r="AT25" s="11" t="s">
        <v>89</v>
      </c>
      <c r="AU25" s="55">
        <f>SUM(AU17:AU24)</f>
        <v>3.3617030601350057E-3</v>
      </c>
      <c r="AV25"/>
      <c r="AW25"/>
    </row>
    <row r="26" spans="1:49" s="25" customFormat="1" x14ac:dyDescent="0.25">
      <c r="A26"/>
      <c r="B26"/>
      <c r="C26"/>
      <c r="D26"/>
      <c r="E26" s="6"/>
      <c r="F26" t="s">
        <v>52</v>
      </c>
      <c r="G26" t="s">
        <v>56</v>
      </c>
      <c r="H26"/>
      <c r="I26"/>
      <c r="J26"/>
      <c r="L26"/>
      <c r="M26"/>
      <c r="N26"/>
      <c r="O26" s="46">
        <v>0</v>
      </c>
      <c r="P26" s="11"/>
      <c r="Q26"/>
      <c r="R26"/>
      <c r="S26"/>
      <c r="T26" s="25">
        <f>100*T25/$AU$13</f>
        <v>0</v>
      </c>
      <c r="U26"/>
      <c r="V26"/>
      <c r="W26"/>
      <c r="X26"/>
      <c r="Y26" s="25">
        <f>100*Y25/$AU$13</f>
        <v>7.2285368846061884</v>
      </c>
      <c r="Z26" s="11"/>
      <c r="AA26"/>
      <c r="AB26"/>
      <c r="AC26"/>
      <c r="AD26" s="25">
        <f>100*AD25/$AU$13</f>
        <v>12.964993761591556</v>
      </c>
      <c r="AE26" s="11"/>
      <c r="AF26"/>
      <c r="AG26"/>
      <c r="AH26"/>
      <c r="AI26" s="25">
        <f>100*AI25/$AU$13</f>
        <v>23.192422547088576</v>
      </c>
      <c r="AK26"/>
      <c r="AL26"/>
      <c r="AM26"/>
      <c r="AN26" s="25">
        <f>100*AN25/$AU$13</f>
        <v>23.961864390747944</v>
      </c>
      <c r="AO26" s="11"/>
      <c r="AP26"/>
      <c r="AQ26"/>
      <c r="AR26" t="s">
        <v>92</v>
      </c>
      <c r="AS26" s="25">
        <f>100*AS25/$AU$13</f>
        <v>4.009983141953386</v>
      </c>
      <c r="AT26" s="11" t="s">
        <v>90</v>
      </c>
      <c r="AU26" s="82">
        <f>O25+T25+Y25+AD25+AI25+AN25+AS25</f>
        <v>1.5216309816878945E-4</v>
      </c>
      <c r="AV26" s="56">
        <f>AU25/AU26</f>
        <v>22.092761652407869</v>
      </c>
      <c r="AW26" t="s">
        <v>91</v>
      </c>
    </row>
    <row r="27" spans="1:49" s="25" customFormat="1" x14ac:dyDescent="0.25">
      <c r="E27" s="34"/>
    </row>
    <row r="28" spans="1:49" s="25" customFormat="1" x14ac:dyDescent="0.25">
      <c r="E28" s="34"/>
    </row>
    <row r="29" spans="1:49" s="25" customFormat="1" x14ac:dyDescent="0.25">
      <c r="E29" s="34"/>
    </row>
    <row r="30" spans="1:49" s="25" customFormat="1" x14ac:dyDescent="0.25">
      <c r="E30" s="34"/>
    </row>
    <row r="31" spans="1:49" s="25" customFormat="1" x14ac:dyDescent="0.25">
      <c r="E31" s="34"/>
    </row>
    <row r="32" spans="1:49" s="25" customFormat="1" x14ac:dyDescent="0.25">
      <c r="E32" s="34"/>
    </row>
    <row r="33" spans="5:5" s="25" customFormat="1" x14ac:dyDescent="0.25">
      <c r="E33" s="34"/>
    </row>
    <row r="34" spans="5:5" s="25" customFormat="1" x14ac:dyDescent="0.25">
      <c r="E34" s="34"/>
    </row>
    <row r="35" spans="5:5" s="25" customFormat="1" x14ac:dyDescent="0.25">
      <c r="E35" s="34"/>
    </row>
    <row r="36" spans="5:5" s="25" customFormat="1" x14ac:dyDescent="0.25">
      <c r="E36" s="34"/>
    </row>
    <row r="37" spans="5:5" s="25" customFormat="1" x14ac:dyDescent="0.25">
      <c r="E37" s="34"/>
    </row>
    <row r="38" spans="5:5" s="25" customFormat="1" x14ac:dyDescent="0.25">
      <c r="E38" s="34"/>
    </row>
    <row r="39" spans="5:5" s="25" customFormat="1" x14ac:dyDescent="0.25">
      <c r="E39" s="34"/>
    </row>
    <row r="40" spans="5:5" s="25" customFormat="1" x14ac:dyDescent="0.25">
      <c r="E40" s="34"/>
    </row>
    <row r="41" spans="5:5" s="25" customFormat="1" x14ac:dyDescent="0.25">
      <c r="E41" s="34"/>
    </row>
    <row r="42" spans="5:5" s="25" customFormat="1" x14ac:dyDescent="0.25">
      <c r="E42" s="34"/>
    </row>
    <row r="43" spans="5:5" s="25" customFormat="1" x14ac:dyDescent="0.25">
      <c r="E43" s="34"/>
    </row>
    <row r="44" spans="5:5" s="25" customFormat="1" x14ac:dyDescent="0.25">
      <c r="E44" s="34"/>
    </row>
    <row r="45" spans="5:5" s="25" customFormat="1" x14ac:dyDescent="0.25">
      <c r="E45" s="34"/>
    </row>
    <row r="46" spans="5:5" s="25" customFormat="1" x14ac:dyDescent="0.25">
      <c r="E46" s="34"/>
    </row>
    <row r="47" spans="5:5" s="25" customFormat="1" x14ac:dyDescent="0.25">
      <c r="E47" s="34"/>
    </row>
    <row r="48" spans="5:5" s="25" customFormat="1" x14ac:dyDescent="0.25">
      <c r="E48" s="34"/>
    </row>
    <row r="49" spans="5:5" s="25" customFormat="1" x14ac:dyDescent="0.25">
      <c r="E49" s="34"/>
    </row>
    <row r="50" spans="5:5" s="25" customFormat="1" x14ac:dyDescent="0.25">
      <c r="E50" s="34"/>
    </row>
    <row r="51" spans="5:5" s="25" customFormat="1" x14ac:dyDescent="0.25">
      <c r="E51" s="34"/>
    </row>
    <row r="52" spans="5:5" s="25" customFormat="1" x14ac:dyDescent="0.25">
      <c r="E52" s="34"/>
    </row>
    <row r="53" spans="5:5" s="25" customFormat="1" x14ac:dyDescent="0.25">
      <c r="E53" s="34"/>
    </row>
    <row r="54" spans="5:5" s="25" customFormat="1" x14ac:dyDescent="0.25">
      <c r="E54" s="34"/>
    </row>
    <row r="55" spans="5:5" s="25" customFormat="1" x14ac:dyDescent="0.25">
      <c r="E55" s="34"/>
    </row>
    <row r="56" spans="5:5" s="25" customFormat="1" x14ac:dyDescent="0.25">
      <c r="E56" s="34"/>
    </row>
    <row r="57" spans="5:5" s="25" customFormat="1" x14ac:dyDescent="0.25">
      <c r="E57" s="34"/>
    </row>
    <row r="58" spans="5:5" s="25" customFormat="1" x14ac:dyDescent="0.25">
      <c r="E58" s="34"/>
    </row>
    <row r="59" spans="5:5" s="25" customFormat="1" x14ac:dyDescent="0.25">
      <c r="E59" s="34"/>
    </row>
    <row r="60" spans="5:5" s="25" customFormat="1" x14ac:dyDescent="0.25">
      <c r="E60" s="34"/>
    </row>
    <row r="61" spans="5:5" s="25" customFormat="1" x14ac:dyDescent="0.25">
      <c r="E61" s="34"/>
    </row>
    <row r="62" spans="5:5" s="25" customFormat="1" x14ac:dyDescent="0.25">
      <c r="E62" s="34"/>
    </row>
    <row r="63" spans="5:5" s="25" customFormat="1" x14ac:dyDescent="0.25">
      <c r="E63" s="34"/>
    </row>
    <row r="64" spans="5:5" s="25" customFormat="1" x14ac:dyDescent="0.25">
      <c r="E64" s="34"/>
    </row>
    <row r="65" spans="5:5" s="25" customFormat="1" x14ac:dyDescent="0.25">
      <c r="E65" s="34"/>
    </row>
    <row r="66" spans="5:5" s="25" customFormat="1" x14ac:dyDescent="0.25">
      <c r="E66" s="34"/>
    </row>
    <row r="67" spans="5:5" s="25" customFormat="1" x14ac:dyDescent="0.25">
      <c r="E67" s="34"/>
    </row>
    <row r="68" spans="5:5" s="25" customFormat="1" x14ac:dyDescent="0.25">
      <c r="E68" s="34"/>
    </row>
    <row r="69" spans="5:5" s="25" customFormat="1" x14ac:dyDescent="0.25">
      <c r="E69" s="34"/>
    </row>
    <row r="70" spans="5:5" s="25" customFormat="1" x14ac:dyDescent="0.25">
      <c r="E70" s="34"/>
    </row>
    <row r="71" spans="5:5" s="25" customFormat="1" x14ac:dyDescent="0.25">
      <c r="E71" s="34"/>
    </row>
    <row r="72" spans="5:5" s="25" customFormat="1" x14ac:dyDescent="0.25">
      <c r="E72" s="34"/>
    </row>
    <row r="73" spans="5:5" s="25" customFormat="1" x14ac:dyDescent="0.25">
      <c r="E73" s="34"/>
    </row>
    <row r="74" spans="5:5" s="25" customFormat="1" x14ac:dyDescent="0.25">
      <c r="E74" s="34"/>
    </row>
    <row r="75" spans="5:5" s="25" customFormat="1" x14ac:dyDescent="0.25">
      <c r="E75" s="34"/>
    </row>
    <row r="76" spans="5:5" s="25" customFormat="1" x14ac:dyDescent="0.25">
      <c r="E76" s="34"/>
    </row>
    <row r="77" spans="5:5" s="25" customFormat="1" x14ac:dyDescent="0.25">
      <c r="E77" s="34"/>
    </row>
    <row r="78" spans="5:5" s="25" customFormat="1" x14ac:dyDescent="0.25">
      <c r="E78" s="34"/>
    </row>
    <row r="79" spans="5:5" s="25" customFormat="1" x14ac:dyDescent="0.25">
      <c r="E79" s="34"/>
    </row>
    <row r="80" spans="5:5" s="25" customFormat="1" x14ac:dyDescent="0.25">
      <c r="E80" s="34"/>
    </row>
    <row r="81" spans="5:5" s="25" customFormat="1" x14ac:dyDescent="0.25">
      <c r="E81" s="34"/>
    </row>
    <row r="82" spans="5:5" s="25" customFormat="1" x14ac:dyDescent="0.25">
      <c r="E82" s="34"/>
    </row>
    <row r="83" spans="5:5" s="25" customFormat="1" x14ac:dyDescent="0.25">
      <c r="E83" s="34"/>
    </row>
    <row r="84" spans="5:5" s="25" customFormat="1" x14ac:dyDescent="0.25">
      <c r="E84" s="34"/>
    </row>
    <row r="85" spans="5:5" s="25" customFormat="1" x14ac:dyDescent="0.25">
      <c r="E85" s="34"/>
    </row>
    <row r="86" spans="5:5" s="25" customFormat="1" x14ac:dyDescent="0.25">
      <c r="E86" s="34"/>
    </row>
    <row r="87" spans="5:5" s="25" customFormat="1" x14ac:dyDescent="0.25">
      <c r="E87" s="34"/>
    </row>
    <row r="88" spans="5:5" s="25" customFormat="1" x14ac:dyDescent="0.25">
      <c r="E88" s="34"/>
    </row>
    <row r="89" spans="5:5" s="25" customFormat="1" x14ac:dyDescent="0.25">
      <c r="E89" s="34"/>
    </row>
    <row r="90" spans="5:5" s="25" customFormat="1" x14ac:dyDescent="0.25">
      <c r="E90" s="34"/>
    </row>
    <row r="91" spans="5:5" s="25" customFormat="1" x14ac:dyDescent="0.25">
      <c r="E91" s="34"/>
    </row>
    <row r="92" spans="5:5" s="25" customFormat="1" x14ac:dyDescent="0.25">
      <c r="E92" s="34"/>
    </row>
    <row r="93" spans="5:5" s="25" customFormat="1" x14ac:dyDescent="0.25">
      <c r="E93" s="34"/>
    </row>
    <row r="94" spans="5:5" s="25" customFormat="1" x14ac:dyDescent="0.25">
      <c r="E94" s="34"/>
    </row>
    <row r="95" spans="5:5" s="25" customFormat="1" x14ac:dyDescent="0.25">
      <c r="E95" s="34"/>
    </row>
    <row r="96" spans="5:5" s="25" customFormat="1" x14ac:dyDescent="0.25">
      <c r="E96" s="34"/>
    </row>
    <row r="97" spans="5:5" s="25" customFormat="1" x14ac:dyDescent="0.25">
      <c r="E97" s="34"/>
    </row>
    <row r="98" spans="5:5" s="25" customFormat="1" x14ac:dyDescent="0.25">
      <c r="E98" s="34"/>
    </row>
    <row r="99" spans="5:5" s="25" customFormat="1" x14ac:dyDescent="0.25">
      <c r="E99" s="34"/>
    </row>
    <row r="100" spans="5:5" s="25" customFormat="1" x14ac:dyDescent="0.25">
      <c r="E100" s="34"/>
    </row>
    <row r="101" spans="5:5" s="25" customFormat="1" x14ac:dyDescent="0.25">
      <c r="E101" s="34"/>
    </row>
    <row r="102" spans="5:5" s="25" customFormat="1" x14ac:dyDescent="0.25">
      <c r="E102" s="34"/>
    </row>
    <row r="103" spans="5:5" s="25" customFormat="1" x14ac:dyDescent="0.25">
      <c r="E103" s="34"/>
    </row>
    <row r="104" spans="5:5" s="25" customFormat="1" x14ac:dyDescent="0.25">
      <c r="E104" s="34"/>
    </row>
    <row r="105" spans="5:5" s="25" customFormat="1" x14ac:dyDescent="0.25">
      <c r="E105" s="34"/>
    </row>
    <row r="106" spans="5:5" s="25" customFormat="1" x14ac:dyDescent="0.25">
      <c r="E106" s="34"/>
    </row>
    <row r="107" spans="5:5" s="25" customFormat="1" x14ac:dyDescent="0.25">
      <c r="E107" s="34"/>
    </row>
    <row r="108" spans="5:5" s="25" customFormat="1" x14ac:dyDescent="0.25">
      <c r="E108" s="34"/>
    </row>
    <row r="109" spans="5:5" s="25" customFormat="1" x14ac:dyDescent="0.25">
      <c r="E109" s="34"/>
    </row>
    <row r="110" spans="5:5" s="25" customFormat="1" x14ac:dyDescent="0.25">
      <c r="E110" s="34"/>
    </row>
    <row r="111" spans="5:5" s="25" customFormat="1" x14ac:dyDescent="0.25">
      <c r="E111" s="34"/>
    </row>
    <row r="112" spans="5:5" s="25" customFormat="1" x14ac:dyDescent="0.25">
      <c r="E112" s="34"/>
    </row>
    <row r="113" spans="5:5" s="25" customFormat="1" x14ac:dyDescent="0.25">
      <c r="E113" s="34"/>
    </row>
    <row r="114" spans="5:5" s="25" customFormat="1" x14ac:dyDescent="0.25">
      <c r="E114" s="34"/>
    </row>
    <row r="115" spans="5:5" s="25" customFormat="1" x14ac:dyDescent="0.25">
      <c r="E115" s="34"/>
    </row>
    <row r="116" spans="5:5" s="25" customFormat="1" x14ac:dyDescent="0.25">
      <c r="E116" s="34"/>
    </row>
    <row r="117" spans="5:5" s="25" customFormat="1" x14ac:dyDescent="0.25">
      <c r="E117" s="34"/>
    </row>
    <row r="118" spans="5:5" s="25" customFormat="1" x14ac:dyDescent="0.25">
      <c r="E118" s="34"/>
    </row>
    <row r="119" spans="5:5" s="25" customFormat="1" x14ac:dyDescent="0.25">
      <c r="E119" s="34"/>
    </row>
    <row r="120" spans="5:5" s="25" customFormat="1" x14ac:dyDescent="0.25">
      <c r="E120" s="34"/>
    </row>
    <row r="121" spans="5:5" s="25" customFormat="1" x14ac:dyDescent="0.25">
      <c r="E121" s="34"/>
    </row>
    <row r="122" spans="5:5" s="25" customFormat="1" x14ac:dyDescent="0.25">
      <c r="E122" s="34"/>
    </row>
    <row r="123" spans="5:5" s="25" customFormat="1" x14ac:dyDescent="0.25">
      <c r="E123" s="34"/>
    </row>
    <row r="124" spans="5:5" s="25" customFormat="1" x14ac:dyDescent="0.25">
      <c r="E124" s="34"/>
    </row>
    <row r="125" spans="5:5" s="25" customFormat="1" x14ac:dyDescent="0.25">
      <c r="E125" s="34"/>
    </row>
    <row r="126" spans="5:5" s="25" customFormat="1" x14ac:dyDescent="0.25">
      <c r="E126" s="34"/>
    </row>
    <row r="127" spans="5:5" s="25" customFormat="1" x14ac:dyDescent="0.25">
      <c r="E127" s="34"/>
    </row>
    <row r="128" spans="5:5" s="25" customFormat="1" x14ac:dyDescent="0.25">
      <c r="E128" s="34"/>
    </row>
    <row r="129" spans="5:5" s="25" customFormat="1" x14ac:dyDescent="0.25">
      <c r="E129" s="34"/>
    </row>
    <row r="130" spans="5:5" s="25" customFormat="1" x14ac:dyDescent="0.25">
      <c r="E130" s="34"/>
    </row>
    <row r="131" spans="5:5" s="25" customFormat="1" x14ac:dyDescent="0.25">
      <c r="E131" s="34"/>
    </row>
    <row r="132" spans="5:5" s="25" customFormat="1" x14ac:dyDescent="0.25">
      <c r="E132" s="34"/>
    </row>
    <row r="133" spans="5:5" s="25" customFormat="1" x14ac:dyDescent="0.25">
      <c r="E133" s="34"/>
    </row>
    <row r="134" spans="5:5" s="25" customFormat="1" x14ac:dyDescent="0.25">
      <c r="E134" s="34"/>
    </row>
    <row r="135" spans="5:5" s="25" customFormat="1" x14ac:dyDescent="0.25">
      <c r="E135" s="34"/>
    </row>
    <row r="136" spans="5:5" s="25" customFormat="1" x14ac:dyDescent="0.25">
      <c r="E136" s="34"/>
    </row>
    <row r="137" spans="5:5" s="25" customFormat="1" x14ac:dyDescent="0.25">
      <c r="E137" s="34"/>
    </row>
    <row r="138" spans="5:5" s="25" customFormat="1" x14ac:dyDescent="0.25">
      <c r="E138" s="34"/>
    </row>
    <row r="139" spans="5:5" s="25" customFormat="1" x14ac:dyDescent="0.25">
      <c r="E139" s="34"/>
    </row>
    <row r="140" spans="5:5" s="25" customFormat="1" x14ac:dyDescent="0.25">
      <c r="E140" s="34"/>
    </row>
    <row r="141" spans="5:5" s="25" customFormat="1" x14ac:dyDescent="0.25">
      <c r="E141" s="34"/>
    </row>
    <row r="142" spans="5:5" s="25" customFormat="1" x14ac:dyDescent="0.25">
      <c r="E142" s="34"/>
    </row>
    <row r="143" spans="5:5" s="25" customFormat="1" x14ac:dyDescent="0.25">
      <c r="E143" s="34"/>
    </row>
    <row r="144" spans="5:5" s="25" customFormat="1" x14ac:dyDescent="0.25">
      <c r="E144" s="34"/>
    </row>
    <row r="145" spans="5:5" s="25" customFormat="1" x14ac:dyDescent="0.25">
      <c r="E145" s="34"/>
    </row>
    <row r="146" spans="5:5" s="25" customFormat="1" x14ac:dyDescent="0.25">
      <c r="E146" s="34"/>
    </row>
    <row r="147" spans="5:5" s="25" customFormat="1" x14ac:dyDescent="0.25">
      <c r="E147" s="34"/>
    </row>
    <row r="148" spans="5:5" s="25" customFormat="1" x14ac:dyDescent="0.25">
      <c r="E148" s="34"/>
    </row>
    <row r="149" spans="5:5" s="25" customFormat="1" x14ac:dyDescent="0.25">
      <c r="E149" s="34"/>
    </row>
    <row r="150" spans="5:5" s="25" customFormat="1" x14ac:dyDescent="0.25">
      <c r="E150" s="34"/>
    </row>
    <row r="151" spans="5:5" s="25" customFormat="1" x14ac:dyDescent="0.25">
      <c r="E151" s="34"/>
    </row>
    <row r="152" spans="5:5" s="25" customFormat="1" x14ac:dyDescent="0.25">
      <c r="E152" s="34"/>
    </row>
    <row r="153" spans="5:5" s="25" customFormat="1" x14ac:dyDescent="0.25">
      <c r="E153" s="34"/>
    </row>
    <row r="154" spans="5:5" s="25" customFormat="1" x14ac:dyDescent="0.25">
      <c r="E154" s="34"/>
    </row>
    <row r="155" spans="5:5" s="25" customFormat="1" x14ac:dyDescent="0.25">
      <c r="E155" s="34"/>
    </row>
    <row r="156" spans="5:5" s="25" customFormat="1" x14ac:dyDescent="0.25">
      <c r="E156" s="34"/>
    </row>
    <row r="157" spans="5:5" s="25" customFormat="1" x14ac:dyDescent="0.25">
      <c r="E157" s="34"/>
    </row>
    <row r="158" spans="5:5" s="25" customFormat="1" x14ac:dyDescent="0.25">
      <c r="E158" s="34"/>
    </row>
    <row r="159" spans="5:5" s="25" customFormat="1" x14ac:dyDescent="0.25">
      <c r="E159" s="34"/>
    </row>
    <row r="160" spans="5:5" s="25" customFormat="1" x14ac:dyDescent="0.25">
      <c r="E160" s="34"/>
    </row>
    <row r="161" spans="5:5" s="25" customFormat="1" x14ac:dyDescent="0.25">
      <c r="E161" s="34"/>
    </row>
    <row r="162" spans="5:5" s="25" customFormat="1" x14ac:dyDescent="0.25">
      <c r="E162" s="34"/>
    </row>
    <row r="163" spans="5:5" s="25" customFormat="1" x14ac:dyDescent="0.25">
      <c r="E163" s="34"/>
    </row>
    <row r="164" spans="5:5" s="25" customFormat="1" x14ac:dyDescent="0.25">
      <c r="E164" s="34"/>
    </row>
    <row r="165" spans="5:5" s="25" customFormat="1" x14ac:dyDescent="0.25">
      <c r="E165" s="34"/>
    </row>
    <row r="166" spans="5:5" s="25" customFormat="1" x14ac:dyDescent="0.25">
      <c r="E166" s="34"/>
    </row>
    <row r="167" spans="5:5" s="25" customFormat="1" x14ac:dyDescent="0.25">
      <c r="E167" s="34"/>
    </row>
    <row r="168" spans="5:5" s="25" customFormat="1" x14ac:dyDescent="0.25">
      <c r="E168" s="34"/>
    </row>
    <row r="169" spans="5:5" s="25" customFormat="1" x14ac:dyDescent="0.25">
      <c r="E169" s="34"/>
    </row>
    <row r="170" spans="5:5" s="25" customFormat="1" x14ac:dyDescent="0.25">
      <c r="E170" s="34"/>
    </row>
    <row r="171" spans="5:5" s="25" customFormat="1" x14ac:dyDescent="0.25">
      <c r="E171" s="34"/>
    </row>
    <row r="172" spans="5:5" s="25" customFormat="1" x14ac:dyDescent="0.25">
      <c r="E172" s="34"/>
    </row>
    <row r="173" spans="5:5" s="25" customFormat="1" x14ac:dyDescent="0.25">
      <c r="E173" s="34"/>
    </row>
    <row r="174" spans="5:5" s="25" customFormat="1" x14ac:dyDescent="0.25">
      <c r="E174" s="34"/>
    </row>
    <row r="175" spans="5:5" s="25" customFormat="1" x14ac:dyDescent="0.25">
      <c r="E175" s="34"/>
    </row>
    <row r="176" spans="5:5" s="25" customFormat="1" x14ac:dyDescent="0.25">
      <c r="E176" s="34"/>
    </row>
    <row r="177" spans="5:5" s="25" customFormat="1" x14ac:dyDescent="0.25">
      <c r="E177" s="34"/>
    </row>
    <row r="178" spans="5:5" s="25" customFormat="1" x14ac:dyDescent="0.25">
      <c r="E178" s="34"/>
    </row>
    <row r="179" spans="5:5" s="25" customFormat="1" x14ac:dyDescent="0.25">
      <c r="E179" s="34"/>
    </row>
    <row r="180" spans="5:5" s="25" customFormat="1" x14ac:dyDescent="0.25">
      <c r="E180" s="34"/>
    </row>
    <row r="181" spans="5:5" s="25" customFormat="1" x14ac:dyDescent="0.25">
      <c r="E181" s="34"/>
    </row>
    <row r="182" spans="5:5" s="25" customFormat="1" x14ac:dyDescent="0.25">
      <c r="E182" s="34"/>
    </row>
    <row r="183" spans="5:5" s="25" customFormat="1" x14ac:dyDescent="0.25">
      <c r="E183" s="34"/>
    </row>
    <row r="184" spans="5:5" s="25" customFormat="1" x14ac:dyDescent="0.25">
      <c r="E184" s="34"/>
    </row>
    <row r="185" spans="5:5" s="25" customFormat="1" x14ac:dyDescent="0.25">
      <c r="E185" s="34"/>
    </row>
    <row r="186" spans="5:5" s="25" customFormat="1" x14ac:dyDescent="0.25">
      <c r="E186" s="34"/>
    </row>
    <row r="187" spans="5:5" s="25" customFormat="1" x14ac:dyDescent="0.25">
      <c r="E187" s="34"/>
    </row>
    <row r="188" spans="5:5" s="25" customFormat="1" x14ac:dyDescent="0.25">
      <c r="E188" s="34"/>
    </row>
    <row r="189" spans="5:5" s="25" customFormat="1" x14ac:dyDescent="0.25">
      <c r="E189" s="34"/>
    </row>
    <row r="190" spans="5:5" s="25" customFormat="1" x14ac:dyDescent="0.25">
      <c r="E190" s="34"/>
    </row>
    <row r="191" spans="5:5" s="25" customFormat="1" x14ac:dyDescent="0.25">
      <c r="E191" s="34"/>
    </row>
    <row r="192" spans="5:5" s="25" customFormat="1" x14ac:dyDescent="0.25">
      <c r="E192" s="34"/>
    </row>
    <row r="193" spans="5:5" s="25" customFormat="1" x14ac:dyDescent="0.25">
      <c r="E193" s="34"/>
    </row>
    <row r="194" spans="5:5" s="25" customFormat="1" x14ac:dyDescent="0.25">
      <c r="E194" s="34"/>
    </row>
    <row r="195" spans="5:5" s="25" customFormat="1" x14ac:dyDescent="0.25">
      <c r="E195" s="34"/>
    </row>
    <row r="196" spans="5:5" s="25" customFormat="1" x14ac:dyDescent="0.25">
      <c r="E196" s="34"/>
    </row>
    <row r="197" spans="5:5" s="25" customFormat="1" x14ac:dyDescent="0.25">
      <c r="E197" s="34"/>
    </row>
    <row r="198" spans="5:5" s="25" customFormat="1" x14ac:dyDescent="0.25">
      <c r="E198" s="34"/>
    </row>
    <row r="199" spans="5:5" s="25" customFormat="1" x14ac:dyDescent="0.25">
      <c r="E199" s="34"/>
    </row>
    <row r="200" spans="5:5" s="25" customFormat="1" x14ac:dyDescent="0.25">
      <c r="E200" s="34"/>
    </row>
    <row r="201" spans="5:5" s="25" customFormat="1" x14ac:dyDescent="0.25">
      <c r="E201" s="34"/>
    </row>
    <row r="202" spans="5:5" s="25" customFormat="1" x14ac:dyDescent="0.25">
      <c r="E202" s="34"/>
    </row>
    <row r="203" spans="5:5" s="25" customFormat="1" x14ac:dyDescent="0.25">
      <c r="E203" s="34"/>
    </row>
    <row r="204" spans="5:5" s="25" customFormat="1" x14ac:dyDescent="0.25">
      <c r="E204" s="34"/>
    </row>
    <row r="205" spans="5:5" s="25" customFormat="1" x14ac:dyDescent="0.25">
      <c r="E205" s="34"/>
    </row>
    <row r="206" spans="5:5" s="25" customFormat="1" x14ac:dyDescent="0.25">
      <c r="E206" s="34"/>
    </row>
    <row r="207" spans="5:5" s="25" customFormat="1" x14ac:dyDescent="0.25">
      <c r="E207" s="34"/>
    </row>
    <row r="208" spans="5:5" s="25" customFormat="1" x14ac:dyDescent="0.25">
      <c r="E208" s="34"/>
    </row>
    <row r="209" spans="5:5" s="25" customFormat="1" x14ac:dyDescent="0.25">
      <c r="E209" s="34"/>
    </row>
    <row r="210" spans="5:5" s="25" customFormat="1" x14ac:dyDescent="0.25">
      <c r="E210" s="34"/>
    </row>
    <row r="211" spans="5:5" s="25" customFormat="1" x14ac:dyDescent="0.25">
      <c r="E211" s="34"/>
    </row>
    <row r="212" spans="5:5" s="25" customFormat="1" x14ac:dyDescent="0.25">
      <c r="E212" s="34"/>
    </row>
    <row r="213" spans="5:5" s="25" customFormat="1" x14ac:dyDescent="0.25">
      <c r="E213" s="34"/>
    </row>
    <row r="214" spans="5:5" s="25" customFormat="1" x14ac:dyDescent="0.25">
      <c r="E214" s="34"/>
    </row>
    <row r="215" spans="5:5" s="25" customFormat="1" x14ac:dyDescent="0.25">
      <c r="E215" s="34"/>
    </row>
    <row r="216" spans="5:5" s="25" customFormat="1" x14ac:dyDescent="0.25">
      <c r="E216" s="34"/>
    </row>
    <row r="217" spans="5:5" s="25" customFormat="1" x14ac:dyDescent="0.25">
      <c r="E217" s="34"/>
    </row>
    <row r="218" spans="5:5" s="25" customFormat="1" x14ac:dyDescent="0.25">
      <c r="E218" s="34"/>
    </row>
    <row r="219" spans="5:5" s="25" customFormat="1" x14ac:dyDescent="0.25">
      <c r="E219" s="34"/>
    </row>
    <row r="220" spans="5:5" s="25" customFormat="1" x14ac:dyDescent="0.25">
      <c r="E220" s="34"/>
    </row>
    <row r="221" spans="5:5" s="25" customFormat="1" x14ac:dyDescent="0.25">
      <c r="E221" s="34"/>
    </row>
    <row r="222" spans="5:5" s="25" customFormat="1" x14ac:dyDescent="0.25">
      <c r="E222" s="34"/>
    </row>
    <row r="223" spans="5:5" s="25" customFormat="1" x14ac:dyDescent="0.25">
      <c r="E223" s="34"/>
    </row>
    <row r="224" spans="5:5" s="25" customFormat="1" x14ac:dyDescent="0.25">
      <c r="E224" s="34"/>
    </row>
    <row r="225" spans="5:5" s="25" customFormat="1" x14ac:dyDescent="0.25">
      <c r="E225" s="34"/>
    </row>
    <row r="226" spans="5:5" s="25" customFormat="1" x14ac:dyDescent="0.25">
      <c r="E226" s="34"/>
    </row>
    <row r="227" spans="5:5" s="25" customFormat="1" x14ac:dyDescent="0.25">
      <c r="E227" s="34"/>
    </row>
    <row r="228" spans="5:5" s="25" customFormat="1" x14ac:dyDescent="0.25">
      <c r="E228" s="34"/>
    </row>
    <row r="229" spans="5:5" s="25" customFormat="1" x14ac:dyDescent="0.25">
      <c r="E229" s="34"/>
    </row>
    <row r="230" spans="5:5" s="25" customFormat="1" x14ac:dyDescent="0.25">
      <c r="E230" s="34"/>
    </row>
    <row r="231" spans="5:5" s="25" customFormat="1" x14ac:dyDescent="0.25">
      <c r="E231" s="34"/>
    </row>
    <row r="232" spans="5:5" s="25" customFormat="1" x14ac:dyDescent="0.25">
      <c r="E232" s="34"/>
    </row>
    <row r="233" spans="5:5" s="25" customFormat="1" x14ac:dyDescent="0.25">
      <c r="E233" s="34"/>
    </row>
    <row r="234" spans="5:5" s="25" customFormat="1" x14ac:dyDescent="0.25">
      <c r="E234" s="34"/>
    </row>
    <row r="235" spans="5:5" s="25" customFormat="1" x14ac:dyDescent="0.25">
      <c r="E235" s="34"/>
    </row>
    <row r="236" spans="5:5" s="25" customFormat="1" x14ac:dyDescent="0.25">
      <c r="E236" s="34"/>
    </row>
    <row r="237" spans="5:5" s="25" customFormat="1" x14ac:dyDescent="0.25">
      <c r="E237" s="34"/>
    </row>
    <row r="238" spans="5:5" s="25" customFormat="1" x14ac:dyDescent="0.25">
      <c r="E238" s="34"/>
    </row>
    <row r="239" spans="5:5" s="25" customFormat="1" x14ac:dyDescent="0.25">
      <c r="E239" s="34"/>
    </row>
    <row r="240" spans="5:5" s="25" customFormat="1" x14ac:dyDescent="0.25">
      <c r="E240" s="34"/>
    </row>
    <row r="241" spans="5:5" s="25" customFormat="1" x14ac:dyDescent="0.25">
      <c r="E241" s="34"/>
    </row>
    <row r="242" spans="5:5" s="25" customFormat="1" x14ac:dyDescent="0.25">
      <c r="E242" s="34"/>
    </row>
    <row r="243" spans="5:5" s="25" customFormat="1" x14ac:dyDescent="0.25">
      <c r="E243" s="34"/>
    </row>
    <row r="244" spans="5:5" s="25" customFormat="1" x14ac:dyDescent="0.25">
      <c r="E244" s="34"/>
    </row>
    <row r="245" spans="5:5" s="25" customFormat="1" x14ac:dyDescent="0.25">
      <c r="E245" s="34"/>
    </row>
    <row r="246" spans="5:5" s="25" customFormat="1" x14ac:dyDescent="0.25">
      <c r="E246" s="34"/>
    </row>
    <row r="247" spans="5:5" s="25" customFormat="1" x14ac:dyDescent="0.25">
      <c r="E247" s="34"/>
    </row>
    <row r="248" spans="5:5" s="25" customFormat="1" x14ac:dyDescent="0.25">
      <c r="E248" s="34"/>
    </row>
    <row r="249" spans="5:5" s="25" customFormat="1" x14ac:dyDescent="0.25">
      <c r="E249" s="34"/>
    </row>
    <row r="250" spans="5:5" s="25" customFormat="1" x14ac:dyDescent="0.25">
      <c r="E250" s="34"/>
    </row>
    <row r="251" spans="5:5" s="25" customFormat="1" x14ac:dyDescent="0.25">
      <c r="E251" s="34"/>
    </row>
    <row r="252" spans="5:5" s="25" customFormat="1" x14ac:dyDescent="0.25">
      <c r="E252" s="34"/>
    </row>
    <row r="253" spans="5:5" s="25" customFormat="1" x14ac:dyDescent="0.25">
      <c r="E253" s="34"/>
    </row>
    <row r="254" spans="5:5" s="25" customFormat="1" x14ac:dyDescent="0.25">
      <c r="E254" s="34"/>
    </row>
    <row r="255" spans="5:5" s="25" customFormat="1" x14ac:dyDescent="0.25">
      <c r="E255" s="34"/>
    </row>
    <row r="256" spans="5:5" s="25" customFormat="1" x14ac:dyDescent="0.25">
      <c r="E256" s="34"/>
    </row>
    <row r="257" spans="5:5" s="25" customFormat="1" x14ac:dyDescent="0.25">
      <c r="E257" s="34"/>
    </row>
    <row r="258" spans="5:5" s="25" customFormat="1" x14ac:dyDescent="0.25">
      <c r="E258" s="34"/>
    </row>
    <row r="259" spans="5:5" s="25" customFormat="1" x14ac:dyDescent="0.25">
      <c r="E259" s="34"/>
    </row>
    <row r="260" spans="5:5" s="25" customFormat="1" x14ac:dyDescent="0.25">
      <c r="E260" s="34"/>
    </row>
    <row r="261" spans="5:5" s="25" customFormat="1" x14ac:dyDescent="0.25">
      <c r="E261" s="34"/>
    </row>
    <row r="262" spans="5:5" s="25" customFormat="1" x14ac:dyDescent="0.25">
      <c r="E262" s="34"/>
    </row>
    <row r="263" spans="5:5" s="25" customFormat="1" x14ac:dyDescent="0.25">
      <c r="E263" s="34"/>
    </row>
    <row r="264" spans="5:5" s="25" customFormat="1" x14ac:dyDescent="0.25">
      <c r="E264" s="34"/>
    </row>
    <row r="265" spans="5:5" s="25" customFormat="1" x14ac:dyDescent="0.25">
      <c r="E265" s="34"/>
    </row>
    <row r="266" spans="5:5" s="25" customFormat="1" x14ac:dyDescent="0.25">
      <c r="E266" s="34"/>
    </row>
    <row r="267" spans="5:5" s="25" customFormat="1" x14ac:dyDescent="0.25">
      <c r="E267" s="34"/>
    </row>
    <row r="268" spans="5:5" s="25" customFormat="1" x14ac:dyDescent="0.25">
      <c r="E268" s="34"/>
    </row>
    <row r="269" spans="5:5" s="25" customFormat="1" x14ac:dyDescent="0.25">
      <c r="E269" s="34"/>
    </row>
    <row r="270" spans="5:5" s="25" customFormat="1" x14ac:dyDescent="0.25">
      <c r="E270" s="34"/>
    </row>
    <row r="271" spans="5:5" s="25" customFormat="1" x14ac:dyDescent="0.25">
      <c r="E271" s="34"/>
    </row>
    <row r="272" spans="5:5" s="25" customFormat="1" x14ac:dyDescent="0.25">
      <c r="E272" s="34"/>
    </row>
    <row r="273" spans="5:5" s="25" customFormat="1" x14ac:dyDescent="0.25">
      <c r="E273" s="34"/>
    </row>
    <row r="274" spans="5:5" s="25" customFormat="1" x14ac:dyDescent="0.25">
      <c r="E274" s="34"/>
    </row>
    <row r="275" spans="5:5" s="25" customFormat="1" x14ac:dyDescent="0.25">
      <c r="E275" s="34"/>
    </row>
    <row r="276" spans="5:5" s="25" customFormat="1" x14ac:dyDescent="0.25">
      <c r="E276" s="34"/>
    </row>
    <row r="277" spans="5:5" s="25" customFormat="1" x14ac:dyDescent="0.25">
      <c r="E277" s="34"/>
    </row>
    <row r="278" spans="5:5" s="25" customFormat="1" x14ac:dyDescent="0.25">
      <c r="E278" s="34"/>
    </row>
    <row r="279" spans="5:5" s="25" customFormat="1" x14ac:dyDescent="0.25">
      <c r="E279" s="34"/>
    </row>
  </sheetData>
  <mergeCells count="2">
    <mergeCell ref="A2:C2"/>
    <mergeCell ref="A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dep bin calculator, 505, taudep</vt:lpstr>
      <vt:lpstr>505, taueros</vt:lpstr>
      <vt:lpstr>vAken(S) taudep</vt:lpstr>
      <vt:lpstr>VAken(S) taueros</vt:lpstr>
      <vt:lpstr>VAken(S) taueros C=^-2.5</vt:lpstr>
      <vt:lpstr>505 taudep, C=^-2.5</vt:lpstr>
      <vt:lpstr>506 taudep, C=^-2.5</vt:lpstr>
      <vt:lpstr>ISW II taudep, C=^-2.5</vt:lpstr>
      <vt:lpstr>505 taueros, C=^-2.5</vt:lpstr>
      <vt:lpstr>VAken(S)taudep, C=^-2.5</vt:lpstr>
      <vt:lpstr>Equations</vt:lpstr>
      <vt:lpstr>CM time % and input size </vt:lpstr>
    </vt:vector>
  </TitlesOfParts>
  <Company>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NMcC</dc:creator>
  <cp:lastModifiedBy>NMcC</cp:lastModifiedBy>
  <dcterms:created xsi:type="dcterms:W3CDTF">2016-11-14T12:25:50Z</dcterms:created>
  <dcterms:modified xsi:type="dcterms:W3CDTF">2017-05-25T09:19:28Z</dcterms:modified>
</cp:coreProperties>
</file>